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VASUDHA\OneDrive\Desktop\Vrinda\Work\KERALA GHG Inventory 2023\Update 2005-2023\Pivot (2005 to 2023)\Pivot_10th April,2026\"/>
    </mc:Choice>
  </mc:AlternateContent>
  <xr:revisionPtr revIDLastSave="0" documentId="13_ncr:1_{5A5E0B07-2EB8-43E1-A3AB-E919C3B2720C}" xr6:coauthVersionLast="47" xr6:coauthVersionMax="47" xr10:uidLastSave="{00000000-0000-0000-0000-000000000000}"/>
  <bookViews>
    <workbookView xWindow="-108" yWindow="-108" windowWidth="23256" windowHeight="12456" firstSheet="1" activeTab="2" xr2:uid="{00000000-000D-0000-FFFF-FFFF00000000}"/>
  </bookViews>
  <sheets>
    <sheet name="Sheet1" sheetId="20" state="hidden" r:id="rId1"/>
    <sheet name="Pivot table waste sector" sheetId="67" r:id="rId2"/>
    <sheet name="GHG Emissions" sheetId="5" r:id="rId3"/>
    <sheet name="Domestic wastewater-CH4 " sheetId="21" r:id="rId4"/>
    <sheet name="Domestic wastewater- N2O " sheetId="22" r:id="rId5"/>
    <sheet name="State total population" sheetId="23" r:id="rId6"/>
    <sheet name="Protein intake" sheetId="24" r:id="rId7"/>
    <sheet name="BOD" sheetId="25" r:id="rId8"/>
    <sheet name=" degree of utilization" sheetId="26" r:id="rId9"/>
    <sheet name=" Urban degree of utilization" sheetId="27" r:id="rId10"/>
    <sheet name="Rural degree of utilization" sheetId="28" r:id="rId11"/>
    <sheet name="STP status" sheetId="29" r:id="rId12"/>
    <sheet name="Petroleum" sheetId="49" r:id="rId13"/>
    <sheet name="Statewise_ production_ petroleu" sheetId="50" r:id="rId14"/>
    <sheet name="Dairy" sheetId="51" r:id="rId15"/>
    <sheet name="State production dairy" sheetId="52" r:id="rId16"/>
    <sheet name="Meat" sheetId="53" r:id="rId17"/>
    <sheet name="State _production_meat" sheetId="54" r:id="rId18"/>
    <sheet name="state_production_pulp and paper" sheetId="55" r:id="rId19"/>
    <sheet name="pulp and paper " sheetId="56" r:id="rId20"/>
    <sheet name="Rubber" sheetId="57" r:id="rId21"/>
    <sheet name="State_production_rubber" sheetId="58" r:id="rId22"/>
    <sheet name="Tannery" sheetId="59" r:id="rId23"/>
    <sheet name="State_production_tannery" sheetId="60" r:id="rId24"/>
    <sheet name="Fish processing" sheetId="61" r:id="rId25"/>
    <sheet name="state_production_fish processin" sheetId="62" r:id="rId26"/>
    <sheet name="Solid waste emissions" sheetId="63" r:id="rId27"/>
    <sheet name="Per capita waste generation" sheetId="64" r:id="rId28"/>
    <sheet name="DOC" sheetId="65" r:id="rId29"/>
    <sheet name="Urban Population" sheetId="66" r:id="rId30"/>
  </sheets>
  <definedNames>
    <definedName name="_xlnm._FilterDatabase" localSheetId="2" hidden="1">'GHG Emissions'!$A$1:$X$38</definedName>
  </definedNames>
  <calcPr calcId="191029"/>
  <pivotCaches>
    <pivotCache cacheId="21" r:id="rId31"/>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5" l="1"/>
  <c r="J35" i="5"/>
  <c r="K35" i="5"/>
  <c r="L35" i="5"/>
  <c r="M35" i="5"/>
  <c r="N35" i="5"/>
  <c r="O35" i="5"/>
  <c r="P35" i="5"/>
  <c r="Q35" i="5"/>
  <c r="R35" i="5"/>
  <c r="S35" i="5"/>
  <c r="T35" i="5"/>
  <c r="U35" i="5"/>
  <c r="V35" i="5"/>
  <c r="W35" i="5"/>
  <c r="X35" i="5"/>
  <c r="Y35" i="5"/>
  <c r="Z35" i="5"/>
  <c r="I36" i="5"/>
  <c r="J36" i="5"/>
  <c r="K36" i="5"/>
  <c r="L36" i="5"/>
  <c r="M36" i="5"/>
  <c r="N36" i="5"/>
  <c r="O36" i="5"/>
  <c r="P36" i="5"/>
  <c r="Q36" i="5"/>
  <c r="R36" i="5"/>
  <c r="S36" i="5"/>
  <c r="T36" i="5"/>
  <c r="U36" i="5"/>
  <c r="V36" i="5"/>
  <c r="W36" i="5"/>
  <c r="X36" i="5"/>
  <c r="Y36" i="5"/>
  <c r="Z36" i="5"/>
  <c r="I37" i="5"/>
  <c r="J37" i="5"/>
  <c r="K37" i="5"/>
  <c r="L37" i="5"/>
  <c r="M37" i="5"/>
  <c r="N37" i="5"/>
  <c r="O37" i="5"/>
  <c r="P37" i="5"/>
  <c r="Q37" i="5"/>
  <c r="R37" i="5"/>
  <c r="S37" i="5"/>
  <c r="T37" i="5"/>
  <c r="U37" i="5"/>
  <c r="V37" i="5"/>
  <c r="W37" i="5"/>
  <c r="X37" i="5"/>
  <c r="Y37" i="5"/>
  <c r="Z37" i="5"/>
  <c r="I38" i="5"/>
  <c r="J38" i="5"/>
  <c r="K38" i="5"/>
  <c r="L38" i="5"/>
  <c r="M38" i="5"/>
  <c r="N38" i="5"/>
  <c r="O38" i="5"/>
  <c r="P38" i="5"/>
  <c r="Q38" i="5"/>
  <c r="R38" i="5"/>
  <c r="S38" i="5"/>
  <c r="T38" i="5"/>
  <c r="U38" i="5"/>
  <c r="V38" i="5"/>
  <c r="W38" i="5"/>
  <c r="X38" i="5"/>
  <c r="Y38" i="5"/>
  <c r="Z38" i="5"/>
  <c r="H38" i="5"/>
  <c r="H37" i="5"/>
  <c r="H36" i="5"/>
  <c r="H35" i="5"/>
  <c r="X7" i="65"/>
  <c r="W7" i="65"/>
  <c r="V7" i="65"/>
  <c r="U7" i="65"/>
  <c r="O7" i="65"/>
  <c r="P7" i="65" s="1"/>
  <c r="B45" i="63" s="1"/>
  <c r="N7" i="65"/>
  <c r="M7" i="65"/>
  <c r="H7" i="65"/>
  <c r="G7" i="65"/>
  <c r="F7" i="65"/>
  <c r="I7" i="65" s="1"/>
  <c r="B44" i="63" s="1"/>
  <c r="E31" i="64"/>
  <c r="F31" i="64" s="1"/>
  <c r="F30" i="64"/>
  <c r="F33" i="64" s="1"/>
  <c r="BT9" i="63" s="1"/>
  <c r="E30" i="64"/>
  <c r="F29" i="64"/>
  <c r="E29" i="64"/>
  <c r="C23" i="64"/>
  <c r="C15" i="64"/>
  <c r="C6" i="64"/>
  <c r="B46" i="63"/>
  <c r="F30" i="63"/>
  <c r="F33" i="63" s="1"/>
  <c r="AV9" i="63"/>
  <c r="AU9" i="63"/>
  <c r="AT9" i="63" s="1"/>
  <c r="I6" i="63"/>
  <c r="BW3" i="63"/>
  <c r="BV3" i="63"/>
  <c r="BT3" i="63"/>
  <c r="BS3" i="63"/>
  <c r="BR3" i="63"/>
  <c r="BQ3" i="63"/>
  <c r="BP3" i="63"/>
  <c r="BO3" i="63"/>
  <c r="BN3" i="63"/>
  <c r="BK3" i="63"/>
  <c r="BH3" i="63"/>
  <c r="BG3" i="63"/>
  <c r="BF3" i="63"/>
  <c r="D21" i="64" s="1"/>
  <c r="E21" i="64" s="1"/>
  <c r="F21" i="64" s="1"/>
  <c r="BF9" i="63" s="1"/>
  <c r="BC3" i="63"/>
  <c r="BB3" i="63"/>
  <c r="BA3" i="63" a="1"/>
  <c r="AQ3" i="63"/>
  <c r="AP6" i="63" s="1"/>
  <c r="AG3" i="63"/>
  <c r="W3" i="63"/>
  <c r="M3" i="63"/>
  <c r="V6" i="63" s="1"/>
  <c r="C3" i="63"/>
  <c r="I22" i="5"/>
  <c r="J22" i="5"/>
  <c r="K22" i="5"/>
  <c r="L22" i="5"/>
  <c r="M22" i="5"/>
  <c r="N22" i="5"/>
  <c r="O22" i="5"/>
  <c r="P22" i="5"/>
  <c r="Q22" i="5"/>
  <c r="R22" i="5"/>
  <c r="S22" i="5"/>
  <c r="T22" i="5"/>
  <c r="U22" i="5"/>
  <c r="V22" i="5"/>
  <c r="W22" i="5"/>
  <c r="X22" i="5"/>
  <c r="Y22" i="5"/>
  <c r="Z22" i="5"/>
  <c r="I23" i="5"/>
  <c r="J23" i="5"/>
  <c r="K23" i="5"/>
  <c r="L23" i="5"/>
  <c r="M23" i="5"/>
  <c r="N23" i="5"/>
  <c r="O23" i="5"/>
  <c r="P23" i="5"/>
  <c r="Q23" i="5"/>
  <c r="R23" i="5"/>
  <c r="S23" i="5"/>
  <c r="T23" i="5"/>
  <c r="U23" i="5"/>
  <c r="V23" i="5"/>
  <c r="W23" i="5"/>
  <c r="X23" i="5"/>
  <c r="Y23" i="5"/>
  <c r="Z23" i="5"/>
  <c r="I24" i="5"/>
  <c r="J24" i="5"/>
  <c r="K24" i="5"/>
  <c r="L24" i="5"/>
  <c r="M24" i="5"/>
  <c r="N24" i="5"/>
  <c r="O24" i="5"/>
  <c r="P24" i="5"/>
  <c r="Q24" i="5"/>
  <c r="R24" i="5"/>
  <c r="S24" i="5"/>
  <c r="T24" i="5"/>
  <c r="U24" i="5"/>
  <c r="V24" i="5"/>
  <c r="W24" i="5"/>
  <c r="X24" i="5"/>
  <c r="Y24" i="5"/>
  <c r="Z24" i="5"/>
  <c r="I25" i="5"/>
  <c r="J25" i="5"/>
  <c r="K25" i="5"/>
  <c r="L25" i="5"/>
  <c r="M25" i="5"/>
  <c r="N25" i="5"/>
  <c r="O25" i="5"/>
  <c r="P25" i="5"/>
  <c r="Q25" i="5"/>
  <c r="R25" i="5"/>
  <c r="S25" i="5"/>
  <c r="T25" i="5"/>
  <c r="U25" i="5"/>
  <c r="V25" i="5"/>
  <c r="W25" i="5"/>
  <c r="X25" i="5"/>
  <c r="Y25" i="5"/>
  <c r="Z25" i="5"/>
  <c r="H25" i="5"/>
  <c r="H24" i="5"/>
  <c r="V91" i="59"/>
  <c r="E91" i="59"/>
  <c r="F91" i="59"/>
  <c r="G91" i="59"/>
  <c r="H91" i="59"/>
  <c r="I91" i="59"/>
  <c r="J91" i="59"/>
  <c r="K91" i="59"/>
  <c r="L91" i="59"/>
  <c r="M91" i="59"/>
  <c r="N91" i="59"/>
  <c r="O91" i="59"/>
  <c r="P91" i="59"/>
  <c r="Q91" i="59"/>
  <c r="R91" i="59"/>
  <c r="S91" i="59"/>
  <c r="T91" i="59"/>
  <c r="U91" i="59"/>
  <c r="D91" i="59"/>
  <c r="R18" i="5"/>
  <c r="S18" i="5"/>
  <c r="Y18" i="5"/>
  <c r="Z18" i="5"/>
  <c r="Z19" i="5"/>
  <c r="Y20" i="5"/>
  <c r="Z20" i="5"/>
  <c r="Y21" i="5"/>
  <c r="Z21" i="5"/>
  <c r="D127" i="62"/>
  <c r="F126" i="62"/>
  <c r="D126" i="62"/>
  <c r="D125" i="62"/>
  <c r="D124" i="62"/>
  <c r="D123" i="62"/>
  <c r="D122" i="62"/>
  <c r="D116" i="62"/>
  <c r="D115" i="62"/>
  <c r="D114" i="62"/>
  <c r="D110" i="62"/>
  <c r="D106" i="62"/>
  <c r="D105" i="62"/>
  <c r="D104" i="62"/>
  <c r="D103" i="62"/>
  <c r="D102" i="62"/>
  <c r="V101" i="62"/>
  <c r="U101" i="62"/>
  <c r="T101" i="62"/>
  <c r="S101" i="62"/>
  <c r="R101" i="62"/>
  <c r="Q101" i="62"/>
  <c r="P101" i="62"/>
  <c r="O101" i="62"/>
  <c r="N101" i="62"/>
  <c r="M101" i="62"/>
  <c r="L101" i="62"/>
  <c r="K101" i="62"/>
  <c r="J101" i="62"/>
  <c r="I101" i="62"/>
  <c r="H101" i="62"/>
  <c r="G101" i="62"/>
  <c r="F101" i="62"/>
  <c r="E101" i="62"/>
  <c r="D101" i="62"/>
  <c r="D98" i="62"/>
  <c r="D97" i="62"/>
  <c r="V96" i="62"/>
  <c r="U96" i="62"/>
  <c r="T96" i="62"/>
  <c r="S96" i="62"/>
  <c r="R96" i="62"/>
  <c r="Q96" i="62"/>
  <c r="P96" i="62"/>
  <c r="O96" i="62"/>
  <c r="N96" i="62"/>
  <c r="M96" i="62"/>
  <c r="L96" i="62"/>
  <c r="K96" i="62"/>
  <c r="J96" i="62"/>
  <c r="I96" i="62"/>
  <c r="H96" i="62"/>
  <c r="G96" i="62"/>
  <c r="F96" i="62"/>
  <c r="E96" i="62"/>
  <c r="D96" i="62"/>
  <c r="D95" i="62"/>
  <c r="D94" i="62"/>
  <c r="D93" i="62"/>
  <c r="V91" i="62"/>
  <c r="U91" i="62"/>
  <c r="T91" i="62"/>
  <c r="S91" i="62"/>
  <c r="R91" i="62"/>
  <c r="Q91" i="62"/>
  <c r="P91" i="62"/>
  <c r="O91" i="62"/>
  <c r="N91" i="62"/>
  <c r="M91" i="62"/>
  <c r="L91" i="62"/>
  <c r="K91" i="62"/>
  <c r="J91" i="62"/>
  <c r="I91" i="62"/>
  <c r="H91" i="62"/>
  <c r="G91" i="62"/>
  <c r="F91" i="62"/>
  <c r="E91" i="62"/>
  <c r="D91" i="62"/>
  <c r="D89" i="62"/>
  <c r="D87" i="62"/>
  <c r="D85" i="62"/>
  <c r="D83" i="62"/>
  <c r="D82" i="62"/>
  <c r="D81" i="62"/>
  <c r="D76" i="62"/>
  <c r="D73" i="62"/>
  <c r="D71" i="62"/>
  <c r="V5" i="62"/>
  <c r="U5" i="62"/>
  <c r="T5" i="62"/>
  <c r="S5" i="62"/>
  <c r="R5" i="62"/>
  <c r="Q5" i="62"/>
  <c r="P5" i="62"/>
  <c r="O5" i="62"/>
  <c r="N5" i="62"/>
  <c r="M5" i="62"/>
  <c r="L5" i="62"/>
  <c r="K5" i="62"/>
  <c r="J5" i="62"/>
  <c r="I5" i="62"/>
  <c r="H5" i="62"/>
  <c r="G5" i="62"/>
  <c r="F5" i="62"/>
  <c r="E5" i="62"/>
  <c r="D5" i="62"/>
  <c r="C5" i="62"/>
  <c r="C55" i="61"/>
  <c r="C71" i="61" s="1"/>
  <c r="C54" i="61"/>
  <c r="C70" i="61" s="1"/>
  <c r="C53" i="61"/>
  <c r="C69" i="61" s="1"/>
  <c r="C52" i="61"/>
  <c r="C68" i="61" s="1"/>
  <c r="C51" i="61"/>
  <c r="C67" i="61" s="1"/>
  <c r="C50" i="61"/>
  <c r="C66" i="61" s="1"/>
  <c r="C49" i="61"/>
  <c r="C65" i="61" s="1"/>
  <c r="C48" i="61"/>
  <c r="C64" i="61" s="1"/>
  <c r="C47" i="61"/>
  <c r="C63" i="61" s="1"/>
  <c r="C46" i="61"/>
  <c r="C62" i="61" s="1"/>
  <c r="C45" i="61"/>
  <c r="C61" i="61" s="1"/>
  <c r="E24" i="61"/>
  <c r="M22" i="61"/>
  <c r="L22" i="61"/>
  <c r="V18" i="61"/>
  <c r="V22" i="61" s="1"/>
  <c r="U18" i="61"/>
  <c r="U22" i="61" s="1"/>
  <c r="T18" i="61"/>
  <c r="T22" i="61" s="1"/>
  <c r="S18" i="61"/>
  <c r="S22" i="61" s="1"/>
  <c r="R18" i="61"/>
  <c r="R22" i="61" s="1"/>
  <c r="Q18" i="61"/>
  <c r="P18" i="61"/>
  <c r="O18" i="61"/>
  <c r="O22" i="61" s="1"/>
  <c r="N18" i="61"/>
  <c r="N22" i="61" s="1"/>
  <c r="M18" i="61"/>
  <c r="L18" i="61"/>
  <c r="K18" i="61"/>
  <c r="K22" i="61" s="1"/>
  <c r="J18" i="61"/>
  <c r="J22" i="61" s="1"/>
  <c r="I18" i="61"/>
  <c r="I22" i="61" s="1"/>
  <c r="H18" i="61"/>
  <c r="H22" i="61" s="1"/>
  <c r="G18" i="61"/>
  <c r="G22" i="61" s="1"/>
  <c r="F18" i="61"/>
  <c r="F22" i="61" s="1"/>
  <c r="E18" i="61"/>
  <c r="D18" i="61"/>
  <c r="V101" i="60"/>
  <c r="U101" i="60"/>
  <c r="T101" i="60"/>
  <c r="S101" i="60"/>
  <c r="R101" i="60"/>
  <c r="Q101" i="60"/>
  <c r="P101" i="60"/>
  <c r="O101" i="60"/>
  <c r="N101" i="60"/>
  <c r="M101" i="60"/>
  <c r="L101" i="60"/>
  <c r="K101" i="60"/>
  <c r="J101" i="60"/>
  <c r="I101" i="60"/>
  <c r="H101" i="60"/>
  <c r="G101" i="60"/>
  <c r="F101" i="60"/>
  <c r="E101" i="60"/>
  <c r="D101" i="60"/>
  <c r="V96" i="60"/>
  <c r="U96" i="60"/>
  <c r="T96" i="60"/>
  <c r="S96" i="60"/>
  <c r="R96" i="60"/>
  <c r="Q96" i="60"/>
  <c r="P96" i="60"/>
  <c r="O96" i="60"/>
  <c r="N96" i="60"/>
  <c r="M96" i="60"/>
  <c r="L96" i="60"/>
  <c r="K96" i="60"/>
  <c r="J96" i="60"/>
  <c r="I96" i="60"/>
  <c r="H96" i="60"/>
  <c r="G96" i="60"/>
  <c r="F96" i="60"/>
  <c r="E96" i="60"/>
  <c r="D96" i="60"/>
  <c r="V91" i="60"/>
  <c r="U91" i="60"/>
  <c r="T91" i="60"/>
  <c r="S91" i="60"/>
  <c r="R91" i="60"/>
  <c r="Q91" i="60"/>
  <c r="P91" i="60"/>
  <c r="O91" i="60"/>
  <c r="N91" i="60"/>
  <c r="M91" i="60"/>
  <c r="L91" i="60"/>
  <c r="K91" i="60"/>
  <c r="J91" i="60"/>
  <c r="I91" i="60"/>
  <c r="H91" i="60"/>
  <c r="G91" i="60"/>
  <c r="F91" i="60"/>
  <c r="E91" i="60"/>
  <c r="D91" i="60"/>
  <c r="J18" i="60"/>
  <c r="J17" i="60"/>
  <c r="V7" i="60"/>
  <c r="U7" i="60"/>
  <c r="T7" i="60"/>
  <c r="S7" i="60"/>
  <c r="R7" i="60"/>
  <c r="Q7" i="60"/>
  <c r="P7" i="60"/>
  <c r="O7" i="60"/>
  <c r="N7" i="60"/>
  <c r="M7" i="60"/>
  <c r="L7" i="60"/>
  <c r="K7" i="60"/>
  <c r="J7" i="60"/>
  <c r="I7" i="60"/>
  <c r="H7" i="60"/>
  <c r="G7" i="60"/>
  <c r="F7" i="60"/>
  <c r="E7" i="60"/>
  <c r="D7" i="60"/>
  <c r="C67" i="59"/>
  <c r="C66" i="59"/>
  <c r="C65" i="59"/>
  <c r="C64" i="59"/>
  <c r="C63" i="59"/>
  <c r="C62" i="59"/>
  <c r="C55" i="59"/>
  <c r="C72" i="59" s="1"/>
  <c r="C54" i="59"/>
  <c r="C71" i="59" s="1"/>
  <c r="C53" i="59"/>
  <c r="C70" i="59" s="1"/>
  <c r="C52" i="59"/>
  <c r="C69" i="59" s="1"/>
  <c r="C51" i="59"/>
  <c r="C68" i="59" s="1"/>
  <c r="C50" i="59"/>
  <c r="C49" i="59"/>
  <c r="C48" i="59"/>
  <c r="C47" i="59"/>
  <c r="C46" i="59"/>
  <c r="C45" i="59"/>
  <c r="F24" i="59"/>
  <c r="J22" i="59"/>
  <c r="I22" i="59"/>
  <c r="H22" i="59"/>
  <c r="V19" i="59"/>
  <c r="V22" i="59" s="1"/>
  <c r="U19" i="59"/>
  <c r="U22" i="59" s="1"/>
  <c r="T19" i="59"/>
  <c r="T22" i="59" s="1"/>
  <c r="S19" i="59"/>
  <c r="S22" i="59" s="1"/>
  <c r="C26" i="59" s="1"/>
  <c r="R19" i="59"/>
  <c r="R22" i="59" s="1"/>
  <c r="Q19" i="59"/>
  <c r="Q22" i="59" s="1"/>
  <c r="P19" i="59"/>
  <c r="P22" i="59" s="1"/>
  <c r="O19" i="59"/>
  <c r="N19" i="59"/>
  <c r="M19" i="59"/>
  <c r="L19" i="59"/>
  <c r="K19" i="59"/>
  <c r="K22" i="59" s="1"/>
  <c r="J19" i="59"/>
  <c r="I19" i="59"/>
  <c r="H19" i="59"/>
  <c r="G19" i="59"/>
  <c r="G22" i="59" s="1"/>
  <c r="F19" i="59"/>
  <c r="F22" i="59" s="1"/>
  <c r="E19" i="59"/>
  <c r="E22" i="59" s="1"/>
  <c r="D19" i="59"/>
  <c r="D22" i="59" s="1"/>
  <c r="V101" i="58"/>
  <c r="U101" i="58"/>
  <c r="T101" i="58"/>
  <c r="S101" i="58"/>
  <c r="R101" i="58"/>
  <c r="Q101" i="58"/>
  <c r="P101" i="58"/>
  <c r="O101" i="58"/>
  <c r="N101" i="58"/>
  <c r="M101" i="58"/>
  <c r="L101" i="58"/>
  <c r="K101" i="58"/>
  <c r="J101" i="58"/>
  <c r="I101" i="58"/>
  <c r="H101" i="58"/>
  <c r="G101" i="58"/>
  <c r="F101" i="58"/>
  <c r="E101" i="58"/>
  <c r="D101" i="58"/>
  <c r="V96" i="58"/>
  <c r="U96" i="58"/>
  <c r="T96" i="58"/>
  <c r="S96" i="58"/>
  <c r="R96" i="58"/>
  <c r="Q96" i="58"/>
  <c r="P96" i="58"/>
  <c r="O96" i="58"/>
  <c r="N96" i="58"/>
  <c r="M96" i="58"/>
  <c r="L96" i="58"/>
  <c r="K96" i="58"/>
  <c r="J96" i="58"/>
  <c r="I96" i="58"/>
  <c r="H96" i="58"/>
  <c r="G96" i="58"/>
  <c r="F96" i="58"/>
  <c r="E96" i="58"/>
  <c r="D96" i="58"/>
  <c r="V91" i="58"/>
  <c r="U91" i="58"/>
  <c r="T91" i="58"/>
  <c r="S91" i="58"/>
  <c r="R91" i="58"/>
  <c r="Q91" i="58"/>
  <c r="P91" i="58"/>
  <c r="O91" i="58"/>
  <c r="N91" i="58"/>
  <c r="M91" i="58"/>
  <c r="L91" i="58"/>
  <c r="K91" i="58"/>
  <c r="J91" i="58"/>
  <c r="I91" i="58"/>
  <c r="H91" i="58"/>
  <c r="G91" i="58"/>
  <c r="F91" i="58"/>
  <c r="E91" i="58"/>
  <c r="D91" i="58"/>
  <c r="T6" i="58"/>
  <c r="S6" i="58"/>
  <c r="R6" i="58"/>
  <c r="Q6" i="58"/>
  <c r="P6" i="58"/>
  <c r="O6" i="58"/>
  <c r="N6" i="58"/>
  <c r="M6" i="58"/>
  <c r="L6" i="58"/>
  <c r="K6" i="58"/>
  <c r="J6" i="58"/>
  <c r="I6" i="58"/>
  <c r="H6" i="58"/>
  <c r="G6" i="58"/>
  <c r="F6" i="58"/>
  <c r="E6" i="58"/>
  <c r="D6" i="58"/>
  <c r="C6" i="58"/>
  <c r="V87" i="57"/>
  <c r="U87" i="57"/>
  <c r="N87" i="57"/>
  <c r="R20" i="5" s="1"/>
  <c r="M87" i="57"/>
  <c r="Q20" i="5" s="1"/>
  <c r="L87" i="57"/>
  <c r="P20" i="5" s="1"/>
  <c r="K87" i="57"/>
  <c r="O20" i="5" s="1"/>
  <c r="V84" i="57"/>
  <c r="U84" i="57"/>
  <c r="Y19" i="5" s="1"/>
  <c r="O84" i="57"/>
  <c r="S19" i="5" s="1"/>
  <c r="O80" i="57"/>
  <c r="R73" i="57"/>
  <c r="R80" i="57" s="1"/>
  <c r="Q73" i="57"/>
  <c r="Q80" i="57" s="1"/>
  <c r="P73" i="57"/>
  <c r="P80" i="57" s="1"/>
  <c r="C66" i="57"/>
  <c r="C65" i="57"/>
  <c r="C64" i="57"/>
  <c r="C63" i="57"/>
  <c r="C57" i="57"/>
  <c r="C56" i="57"/>
  <c r="C48" i="57"/>
  <c r="C47" i="57"/>
  <c r="C46" i="57"/>
  <c r="C45" i="57"/>
  <c r="C44" i="57"/>
  <c r="C62" i="57" s="1"/>
  <c r="C43" i="57"/>
  <c r="C61" i="57" s="1"/>
  <c r="C42" i="57"/>
  <c r="C60" i="57" s="1"/>
  <c r="C41" i="57"/>
  <c r="C59" i="57" s="1"/>
  <c r="C40" i="57"/>
  <c r="C58" i="57" s="1"/>
  <c r="C39" i="57"/>
  <c r="C38" i="57"/>
  <c r="J25" i="57"/>
  <c r="J73" i="57" s="1"/>
  <c r="J80" i="57" s="1"/>
  <c r="I25" i="57"/>
  <c r="I73" i="57" s="1"/>
  <c r="I80" i="57" s="1"/>
  <c r="H25" i="57"/>
  <c r="H73" i="57" s="1"/>
  <c r="H80" i="57" s="1"/>
  <c r="G25" i="57"/>
  <c r="G73" i="57" s="1"/>
  <c r="G80" i="57" s="1"/>
  <c r="T18" i="57"/>
  <c r="T25" i="57" s="1"/>
  <c r="T73" i="57" s="1"/>
  <c r="T80" i="57" s="1"/>
  <c r="S18" i="57"/>
  <c r="S25" i="57" s="1"/>
  <c r="S73" i="57" s="1"/>
  <c r="S80" i="57" s="1"/>
  <c r="R18" i="57"/>
  <c r="R25" i="57" s="1"/>
  <c r="Q18" i="57"/>
  <c r="Q25" i="57" s="1"/>
  <c r="P18" i="57"/>
  <c r="P25" i="57" s="1"/>
  <c r="O18" i="57"/>
  <c r="O25" i="57" s="1"/>
  <c r="O73" i="57" s="1"/>
  <c r="N18" i="57"/>
  <c r="N25" i="57" s="1"/>
  <c r="N73" i="57" s="1"/>
  <c r="N80" i="57" s="1"/>
  <c r="N90" i="57" s="1"/>
  <c r="M18" i="57"/>
  <c r="M25" i="57" s="1"/>
  <c r="M73" i="57" s="1"/>
  <c r="M80" i="57" s="1"/>
  <c r="L18" i="57"/>
  <c r="L25" i="57" s="1"/>
  <c r="L73" i="57" s="1"/>
  <c r="L80" i="57" s="1"/>
  <c r="K18" i="57"/>
  <c r="K25" i="57" s="1"/>
  <c r="K73" i="57" s="1"/>
  <c r="K80" i="57" s="1"/>
  <c r="J18" i="57"/>
  <c r="I18" i="57"/>
  <c r="H18" i="57"/>
  <c r="G18" i="57"/>
  <c r="F18" i="57"/>
  <c r="F25" i="57" s="1"/>
  <c r="F73" i="57" s="1"/>
  <c r="F80" i="57" s="1"/>
  <c r="E18" i="57"/>
  <c r="E25" i="57" s="1"/>
  <c r="E73" i="57" s="1"/>
  <c r="E80" i="57" s="1"/>
  <c r="D18" i="57"/>
  <c r="D25" i="57" s="1"/>
  <c r="D73" i="57" s="1"/>
  <c r="D80" i="57" s="1"/>
  <c r="V91" i="56"/>
  <c r="U91" i="56"/>
  <c r="T91" i="56"/>
  <c r="S91" i="56"/>
  <c r="R91" i="56"/>
  <c r="Q91" i="56"/>
  <c r="P91" i="56"/>
  <c r="O91" i="56"/>
  <c r="N91" i="56"/>
  <c r="M91" i="56"/>
  <c r="L91" i="56"/>
  <c r="K91" i="56"/>
  <c r="J91" i="56"/>
  <c r="I91" i="56"/>
  <c r="H91" i="56"/>
  <c r="G91" i="56"/>
  <c r="F91" i="56"/>
  <c r="E91" i="56"/>
  <c r="D91" i="56"/>
  <c r="V87" i="56"/>
  <c r="U87" i="56"/>
  <c r="T87" i="56"/>
  <c r="S87" i="56"/>
  <c r="R87" i="56"/>
  <c r="Q87" i="56"/>
  <c r="P87" i="56"/>
  <c r="O87" i="56"/>
  <c r="N87" i="56"/>
  <c r="M87" i="56"/>
  <c r="L87" i="56"/>
  <c r="K87" i="56"/>
  <c r="J87" i="56"/>
  <c r="I87" i="56"/>
  <c r="H87" i="56"/>
  <c r="G87" i="56"/>
  <c r="F87" i="56"/>
  <c r="E87" i="56"/>
  <c r="D87" i="56"/>
  <c r="V84" i="56"/>
  <c r="U84" i="56"/>
  <c r="T84" i="56"/>
  <c r="S84" i="56"/>
  <c r="R84" i="56"/>
  <c r="Q84" i="56"/>
  <c r="P84" i="56"/>
  <c r="O84" i="56"/>
  <c r="N84" i="56"/>
  <c r="M84" i="56"/>
  <c r="L84" i="56"/>
  <c r="K84" i="56"/>
  <c r="J84" i="56"/>
  <c r="I84" i="56"/>
  <c r="H84" i="56"/>
  <c r="G84" i="56"/>
  <c r="F84" i="56"/>
  <c r="E84" i="56"/>
  <c r="D84" i="56"/>
  <c r="V81" i="56"/>
  <c r="U81" i="56"/>
  <c r="T81" i="56"/>
  <c r="S81" i="56"/>
  <c r="R81" i="56"/>
  <c r="Q81" i="56"/>
  <c r="P81" i="56"/>
  <c r="O81" i="56"/>
  <c r="N81" i="56"/>
  <c r="M81" i="56"/>
  <c r="L81" i="56"/>
  <c r="K81" i="56"/>
  <c r="J81" i="56"/>
  <c r="I81" i="56"/>
  <c r="H81" i="56"/>
  <c r="G81" i="56"/>
  <c r="F81" i="56"/>
  <c r="E81" i="56"/>
  <c r="D81" i="56"/>
  <c r="V75" i="56"/>
  <c r="U75" i="56"/>
  <c r="T75" i="56"/>
  <c r="S75" i="56"/>
  <c r="R75" i="56"/>
  <c r="Q75" i="56"/>
  <c r="P75" i="56"/>
  <c r="O75" i="56"/>
  <c r="N75" i="56"/>
  <c r="M75" i="56"/>
  <c r="L75" i="56"/>
  <c r="K75" i="56"/>
  <c r="J75" i="56"/>
  <c r="I75" i="56"/>
  <c r="H75" i="56"/>
  <c r="G75" i="56"/>
  <c r="F75" i="56"/>
  <c r="E75" i="56"/>
  <c r="D75" i="56"/>
  <c r="C69" i="56"/>
  <c r="C68" i="56"/>
  <c r="C67" i="56"/>
  <c r="C66" i="56"/>
  <c r="C65" i="56"/>
  <c r="C64" i="56"/>
  <c r="C63" i="56"/>
  <c r="C62" i="56"/>
  <c r="C61" i="56"/>
  <c r="C60" i="56"/>
  <c r="C59" i="56"/>
  <c r="V30" i="56"/>
  <c r="U30" i="56"/>
  <c r="T30" i="56"/>
  <c r="S30" i="56"/>
  <c r="R30" i="56"/>
  <c r="Q30" i="56"/>
  <c r="P30" i="56"/>
  <c r="O30" i="56"/>
  <c r="N30" i="56"/>
  <c r="M30" i="56"/>
  <c r="L30" i="56"/>
  <c r="K30" i="56"/>
  <c r="J30" i="56"/>
  <c r="I30" i="56"/>
  <c r="H30" i="56"/>
  <c r="G30" i="56"/>
  <c r="F30" i="56"/>
  <c r="E30" i="56"/>
  <c r="D30" i="56"/>
  <c r="V27" i="56"/>
  <c r="U27" i="56"/>
  <c r="T27" i="56"/>
  <c r="S27" i="56"/>
  <c r="R27" i="56"/>
  <c r="Q27" i="56"/>
  <c r="P27" i="56"/>
  <c r="O27" i="56"/>
  <c r="N27" i="56"/>
  <c r="M27" i="56"/>
  <c r="L27" i="56"/>
  <c r="K27" i="56"/>
  <c r="J27" i="56"/>
  <c r="I27" i="56"/>
  <c r="H27" i="56"/>
  <c r="G27" i="56"/>
  <c r="F27" i="56"/>
  <c r="E27" i="56"/>
  <c r="D27" i="56"/>
  <c r="C24" i="56"/>
  <c r="K22" i="56"/>
  <c r="E22" i="56"/>
  <c r="V20" i="56"/>
  <c r="U20" i="56"/>
  <c r="T20" i="56"/>
  <c r="S20" i="56"/>
  <c r="R20" i="56"/>
  <c r="Q20" i="56"/>
  <c r="P20" i="56"/>
  <c r="O20" i="56"/>
  <c r="N20" i="56"/>
  <c r="M20" i="56"/>
  <c r="L20" i="56"/>
  <c r="K20" i="56"/>
  <c r="J20" i="56"/>
  <c r="I20" i="56"/>
  <c r="H20" i="56"/>
  <c r="G20" i="56"/>
  <c r="F20" i="56"/>
  <c r="E20" i="56"/>
  <c r="D20" i="56"/>
  <c r="V17" i="56"/>
  <c r="U17" i="56"/>
  <c r="T17" i="56"/>
  <c r="S17" i="56"/>
  <c r="R17" i="56"/>
  <c r="Q17" i="56"/>
  <c r="P17" i="56"/>
  <c r="O17" i="56"/>
  <c r="N17" i="56"/>
  <c r="M17" i="56"/>
  <c r="L17" i="56"/>
  <c r="K17" i="56"/>
  <c r="J17" i="56"/>
  <c r="I17" i="56"/>
  <c r="H17" i="56"/>
  <c r="G17" i="56"/>
  <c r="F17" i="56"/>
  <c r="E17" i="56"/>
  <c r="D17" i="56"/>
  <c r="V101" i="55"/>
  <c r="U101" i="55"/>
  <c r="T101" i="55"/>
  <c r="S101" i="55"/>
  <c r="R101" i="55"/>
  <c r="Q101" i="55"/>
  <c r="P101" i="55"/>
  <c r="O101" i="55"/>
  <c r="N101" i="55"/>
  <c r="M101" i="55"/>
  <c r="L101" i="55"/>
  <c r="K101" i="55"/>
  <c r="J101" i="55"/>
  <c r="I101" i="55"/>
  <c r="H101" i="55"/>
  <c r="G101" i="55"/>
  <c r="F101" i="55"/>
  <c r="E101" i="55"/>
  <c r="D101" i="55"/>
  <c r="V96" i="55"/>
  <c r="U96" i="55"/>
  <c r="T96" i="55"/>
  <c r="S96" i="55"/>
  <c r="R96" i="55"/>
  <c r="Q96" i="55"/>
  <c r="P96" i="55"/>
  <c r="O96" i="55"/>
  <c r="N96" i="55"/>
  <c r="M96" i="55"/>
  <c r="L96" i="55"/>
  <c r="K96" i="55"/>
  <c r="J96" i="55"/>
  <c r="I96" i="55"/>
  <c r="H96" i="55"/>
  <c r="G96" i="55"/>
  <c r="F96" i="55"/>
  <c r="E96" i="55"/>
  <c r="D96" i="55"/>
  <c r="V91" i="55"/>
  <c r="U91" i="55"/>
  <c r="T91" i="55"/>
  <c r="S91" i="55"/>
  <c r="R91" i="55"/>
  <c r="Q91" i="55"/>
  <c r="P91" i="55"/>
  <c r="O91" i="55"/>
  <c r="N91" i="55"/>
  <c r="M91" i="55"/>
  <c r="L91" i="55"/>
  <c r="K91" i="55"/>
  <c r="J91" i="55"/>
  <c r="I91" i="55"/>
  <c r="H91" i="55"/>
  <c r="G91" i="55"/>
  <c r="F91" i="55"/>
  <c r="E91" i="55"/>
  <c r="D91" i="55"/>
  <c r="H31" i="55"/>
  <c r="H30" i="55"/>
  <c r="H29" i="55"/>
  <c r="H24" i="55"/>
  <c r="H19" i="55"/>
  <c r="W7" i="55"/>
  <c r="V7" i="55"/>
  <c r="U7" i="55"/>
  <c r="T7" i="55"/>
  <c r="S7" i="55"/>
  <c r="R7" i="55"/>
  <c r="Q7" i="55"/>
  <c r="P7" i="55"/>
  <c r="O7" i="55"/>
  <c r="N7" i="55"/>
  <c r="M7" i="55"/>
  <c r="L7" i="55"/>
  <c r="K7" i="55"/>
  <c r="J7" i="55"/>
  <c r="I7" i="55"/>
  <c r="H7" i="55"/>
  <c r="G7" i="55"/>
  <c r="F7" i="55"/>
  <c r="E7" i="55"/>
  <c r="D7" i="55"/>
  <c r="V101" i="54"/>
  <c r="U101" i="54"/>
  <c r="T101" i="54"/>
  <c r="S101" i="54"/>
  <c r="R101" i="54"/>
  <c r="Q101" i="54"/>
  <c r="P101" i="54"/>
  <c r="O101" i="54"/>
  <c r="N101" i="54"/>
  <c r="M101" i="54"/>
  <c r="L101" i="54"/>
  <c r="K101" i="54"/>
  <c r="J101" i="54"/>
  <c r="I101" i="54"/>
  <c r="H101" i="54"/>
  <c r="G101" i="54"/>
  <c r="F101" i="54"/>
  <c r="E101" i="54"/>
  <c r="D101" i="54"/>
  <c r="V96" i="54"/>
  <c r="U96" i="54"/>
  <c r="T96" i="54"/>
  <c r="S96" i="54"/>
  <c r="R96" i="54"/>
  <c r="Q96" i="54"/>
  <c r="P96" i="54"/>
  <c r="O96" i="54"/>
  <c r="N96" i="54"/>
  <c r="M96" i="54"/>
  <c r="L96" i="54"/>
  <c r="K96" i="54"/>
  <c r="J96" i="54"/>
  <c r="I96" i="54"/>
  <c r="H96" i="54"/>
  <c r="G96" i="54"/>
  <c r="F96" i="54"/>
  <c r="E96" i="54"/>
  <c r="D96" i="54"/>
  <c r="V91" i="54"/>
  <c r="U91" i="54"/>
  <c r="T91" i="54"/>
  <c r="S91" i="54"/>
  <c r="R91" i="54"/>
  <c r="Q91" i="54"/>
  <c r="P91" i="54"/>
  <c r="O91" i="54"/>
  <c r="N91" i="54"/>
  <c r="M91" i="54"/>
  <c r="L91" i="54"/>
  <c r="K91" i="54"/>
  <c r="J91" i="54"/>
  <c r="I91" i="54"/>
  <c r="H91" i="54"/>
  <c r="G91" i="54"/>
  <c r="F91" i="54"/>
  <c r="E91" i="54"/>
  <c r="D91" i="54"/>
  <c r="J17" i="54"/>
  <c r="J16" i="54"/>
  <c r="W6" i="54"/>
  <c r="V6" i="54"/>
  <c r="U6" i="54"/>
  <c r="T6" i="54"/>
  <c r="S6" i="54"/>
  <c r="R6" i="54"/>
  <c r="Q6" i="54"/>
  <c r="P6" i="54"/>
  <c r="O6" i="54"/>
  <c r="N6" i="54"/>
  <c r="M6" i="54"/>
  <c r="L6" i="54"/>
  <c r="K6" i="54"/>
  <c r="J6" i="54"/>
  <c r="I6" i="54"/>
  <c r="H6" i="54"/>
  <c r="G6" i="54"/>
  <c r="F6" i="54"/>
  <c r="E6" i="54"/>
  <c r="D6" i="54"/>
  <c r="V93" i="53"/>
  <c r="U93" i="53"/>
  <c r="T93" i="53"/>
  <c r="S93" i="53"/>
  <c r="R93" i="53"/>
  <c r="Q93" i="53"/>
  <c r="P93" i="53"/>
  <c r="O93" i="53"/>
  <c r="N93" i="53"/>
  <c r="M93" i="53"/>
  <c r="L93" i="53"/>
  <c r="K93" i="53"/>
  <c r="J93" i="53"/>
  <c r="I93" i="53"/>
  <c r="H93" i="53"/>
  <c r="G93" i="53"/>
  <c r="F93" i="53"/>
  <c r="E93" i="53"/>
  <c r="D93" i="53"/>
  <c r="V89" i="53"/>
  <c r="U89" i="53"/>
  <c r="T89" i="53"/>
  <c r="S89" i="53"/>
  <c r="R89" i="53"/>
  <c r="Q89" i="53"/>
  <c r="P89" i="53"/>
  <c r="O89" i="53"/>
  <c r="N89" i="53"/>
  <c r="M89" i="53"/>
  <c r="L89" i="53"/>
  <c r="K89" i="53"/>
  <c r="J89" i="53"/>
  <c r="I89" i="53"/>
  <c r="H89" i="53"/>
  <c r="G89" i="53"/>
  <c r="F89" i="53"/>
  <c r="E89" i="53"/>
  <c r="D89" i="53"/>
  <c r="V86" i="53"/>
  <c r="U86" i="53"/>
  <c r="T86" i="53"/>
  <c r="S86" i="53"/>
  <c r="R86" i="53"/>
  <c r="Q86" i="53"/>
  <c r="P86" i="53"/>
  <c r="O86" i="53"/>
  <c r="N86" i="53"/>
  <c r="M86" i="53"/>
  <c r="L86" i="53"/>
  <c r="K86" i="53"/>
  <c r="J86" i="53"/>
  <c r="I86" i="53"/>
  <c r="H86" i="53"/>
  <c r="G86" i="53"/>
  <c r="F86" i="53"/>
  <c r="E86" i="53"/>
  <c r="D86" i="53"/>
  <c r="V83" i="53"/>
  <c r="U83" i="53"/>
  <c r="T83" i="53"/>
  <c r="S83" i="53"/>
  <c r="R83" i="53"/>
  <c r="Q83" i="53"/>
  <c r="P83" i="53"/>
  <c r="O83" i="53"/>
  <c r="N83" i="53"/>
  <c r="M83" i="53"/>
  <c r="L83" i="53"/>
  <c r="K83" i="53"/>
  <c r="J83" i="53"/>
  <c r="I83" i="53"/>
  <c r="H83" i="53"/>
  <c r="G83" i="53"/>
  <c r="F83" i="53"/>
  <c r="E83" i="53"/>
  <c r="D83" i="53"/>
  <c r="V77" i="53"/>
  <c r="U77" i="53"/>
  <c r="T77" i="53"/>
  <c r="S77" i="53"/>
  <c r="R77" i="53"/>
  <c r="Q77" i="53"/>
  <c r="P77" i="53"/>
  <c r="O77" i="53"/>
  <c r="N77" i="53"/>
  <c r="M77" i="53"/>
  <c r="L77" i="53"/>
  <c r="K77" i="53"/>
  <c r="J77" i="53"/>
  <c r="I77" i="53"/>
  <c r="H77" i="53"/>
  <c r="G77" i="53"/>
  <c r="F77" i="53"/>
  <c r="E77" i="53"/>
  <c r="D77" i="53"/>
  <c r="C70" i="53"/>
  <c r="C69" i="53"/>
  <c r="C68" i="53"/>
  <c r="C67" i="53"/>
  <c r="C66" i="53"/>
  <c r="C65" i="53"/>
  <c r="C64" i="53"/>
  <c r="C63" i="53"/>
  <c r="C62" i="53"/>
  <c r="C61" i="53"/>
  <c r="C60" i="53"/>
  <c r="C52" i="53"/>
  <c r="C51" i="53"/>
  <c r="C50" i="53"/>
  <c r="C49" i="53"/>
  <c r="C48" i="53"/>
  <c r="C47" i="53"/>
  <c r="C46" i="53"/>
  <c r="C45" i="53"/>
  <c r="C44" i="53"/>
  <c r="C43" i="53"/>
  <c r="C42" i="53"/>
  <c r="V30" i="53"/>
  <c r="U30" i="53"/>
  <c r="T30" i="53"/>
  <c r="S30" i="53"/>
  <c r="R30" i="53"/>
  <c r="Q30" i="53"/>
  <c r="P30" i="53"/>
  <c r="O30" i="53"/>
  <c r="N30" i="53"/>
  <c r="M30" i="53"/>
  <c r="L30" i="53"/>
  <c r="K30" i="53"/>
  <c r="J30" i="53"/>
  <c r="I30" i="53"/>
  <c r="H30" i="53"/>
  <c r="G30" i="53"/>
  <c r="F30" i="53"/>
  <c r="E30" i="53"/>
  <c r="D30" i="53"/>
  <c r="V27" i="53"/>
  <c r="U27" i="53"/>
  <c r="T27" i="53"/>
  <c r="S27" i="53"/>
  <c r="R27" i="53"/>
  <c r="Q27" i="53"/>
  <c r="P27" i="53"/>
  <c r="O27" i="53"/>
  <c r="N27" i="53"/>
  <c r="M27" i="53"/>
  <c r="L27" i="53"/>
  <c r="K27" i="53"/>
  <c r="J27" i="53"/>
  <c r="I27" i="53"/>
  <c r="H27" i="53"/>
  <c r="G27" i="53"/>
  <c r="F27" i="53"/>
  <c r="E27" i="53"/>
  <c r="D27" i="53"/>
  <c r="C24" i="53"/>
  <c r="E23" i="53"/>
  <c r="V21" i="53"/>
  <c r="U21" i="53"/>
  <c r="T21" i="53"/>
  <c r="S21" i="53"/>
  <c r="R21" i="53"/>
  <c r="Q21" i="53"/>
  <c r="P21" i="53"/>
  <c r="O21" i="53"/>
  <c r="N21" i="53"/>
  <c r="M21" i="53"/>
  <c r="L21" i="53"/>
  <c r="K21" i="53"/>
  <c r="J21" i="53"/>
  <c r="I21" i="53"/>
  <c r="H21" i="53"/>
  <c r="G21" i="53"/>
  <c r="F21" i="53"/>
  <c r="E21" i="53"/>
  <c r="D21" i="53"/>
  <c r="V19" i="53"/>
  <c r="U19" i="53"/>
  <c r="T19" i="53"/>
  <c r="S19" i="53"/>
  <c r="R19" i="53"/>
  <c r="Q19" i="53"/>
  <c r="P19" i="53"/>
  <c r="O19" i="53"/>
  <c r="N19" i="53"/>
  <c r="M19" i="53"/>
  <c r="L19" i="53"/>
  <c r="K19" i="53"/>
  <c r="J19" i="53"/>
  <c r="I19" i="53"/>
  <c r="H19" i="53"/>
  <c r="G19" i="53"/>
  <c r="F19" i="53"/>
  <c r="E19" i="53"/>
  <c r="D19" i="53"/>
  <c r="V101" i="52"/>
  <c r="U101" i="52"/>
  <c r="T101" i="52"/>
  <c r="S101" i="52"/>
  <c r="R101" i="52"/>
  <c r="Q101" i="52"/>
  <c r="P101" i="52"/>
  <c r="O101" i="52"/>
  <c r="N101" i="52"/>
  <c r="M101" i="52"/>
  <c r="L101" i="52"/>
  <c r="K101" i="52"/>
  <c r="J101" i="52"/>
  <c r="I101" i="52"/>
  <c r="H101" i="52"/>
  <c r="G101" i="52"/>
  <c r="F101" i="52"/>
  <c r="E101" i="52"/>
  <c r="D101" i="52"/>
  <c r="V96" i="52"/>
  <c r="U96" i="52"/>
  <c r="T96" i="52"/>
  <c r="S96" i="52"/>
  <c r="R96" i="52"/>
  <c r="Q96" i="52"/>
  <c r="P96" i="52"/>
  <c r="O96" i="52"/>
  <c r="N96" i="52"/>
  <c r="M96" i="52"/>
  <c r="L96" i="52"/>
  <c r="K96" i="52"/>
  <c r="J96" i="52"/>
  <c r="I96" i="52"/>
  <c r="H96" i="52"/>
  <c r="G96" i="52"/>
  <c r="F96" i="52"/>
  <c r="E96" i="52"/>
  <c r="D96" i="52"/>
  <c r="V91" i="52"/>
  <c r="U91" i="52"/>
  <c r="T91" i="52"/>
  <c r="S91" i="52"/>
  <c r="R91" i="52"/>
  <c r="Q91" i="52"/>
  <c r="P91" i="52"/>
  <c r="O91" i="52"/>
  <c r="N91" i="52"/>
  <c r="M91" i="52"/>
  <c r="L91" i="52"/>
  <c r="K91" i="52"/>
  <c r="J91" i="52"/>
  <c r="I91" i="52"/>
  <c r="H91" i="52"/>
  <c r="G91" i="52"/>
  <c r="F91" i="52"/>
  <c r="E91" i="52"/>
  <c r="D91" i="52"/>
  <c r="E59" i="52"/>
  <c r="E58" i="52"/>
  <c r="E57" i="52"/>
  <c r="E56" i="52"/>
  <c r="E44" i="52"/>
  <c r="E41" i="52"/>
  <c r="E40" i="52"/>
  <c r="E36" i="52"/>
  <c r="W5" i="52"/>
  <c r="V5" i="52"/>
  <c r="U5" i="52"/>
  <c r="T5" i="52"/>
  <c r="S5" i="52"/>
  <c r="R5" i="52"/>
  <c r="Q5" i="52"/>
  <c r="P5" i="52"/>
  <c r="O5" i="52"/>
  <c r="N5" i="52"/>
  <c r="M5" i="52"/>
  <c r="L5" i="52"/>
  <c r="K5" i="52"/>
  <c r="J5" i="52"/>
  <c r="I5" i="52"/>
  <c r="H5" i="52"/>
  <c r="G5" i="52"/>
  <c r="F5" i="52"/>
  <c r="E5" i="52"/>
  <c r="D5" i="52"/>
  <c r="V101" i="51"/>
  <c r="U101" i="51"/>
  <c r="T101" i="51"/>
  <c r="S101" i="51"/>
  <c r="R101" i="51"/>
  <c r="Q101" i="51"/>
  <c r="P101" i="51"/>
  <c r="O101" i="51"/>
  <c r="N101" i="51"/>
  <c r="M101" i="51"/>
  <c r="L101" i="51"/>
  <c r="K101" i="51"/>
  <c r="J101" i="51"/>
  <c r="I101" i="51"/>
  <c r="H101" i="51"/>
  <c r="G101" i="51"/>
  <c r="F101" i="51"/>
  <c r="E101" i="51"/>
  <c r="D101" i="51"/>
  <c r="V97" i="51"/>
  <c r="U97" i="51"/>
  <c r="T97" i="51"/>
  <c r="S97" i="51"/>
  <c r="R97" i="51"/>
  <c r="Q97" i="51"/>
  <c r="P97" i="51"/>
  <c r="O97" i="51"/>
  <c r="N97" i="51"/>
  <c r="M97" i="51"/>
  <c r="L97" i="51"/>
  <c r="K97" i="51"/>
  <c r="J97" i="51"/>
  <c r="I97" i="51"/>
  <c r="H97" i="51"/>
  <c r="G97" i="51"/>
  <c r="F97" i="51"/>
  <c r="E97" i="51"/>
  <c r="D97" i="51"/>
  <c r="V96" i="51"/>
  <c r="U96" i="51"/>
  <c r="T96" i="51"/>
  <c r="S96" i="51"/>
  <c r="R96" i="51"/>
  <c r="Q96" i="51"/>
  <c r="P96" i="51"/>
  <c r="O96" i="51"/>
  <c r="N96" i="51"/>
  <c r="M96" i="51"/>
  <c r="L96" i="51"/>
  <c r="K96" i="51"/>
  <c r="J96" i="51"/>
  <c r="I96" i="51"/>
  <c r="H96" i="51"/>
  <c r="G96" i="51"/>
  <c r="F96" i="51"/>
  <c r="E96" i="51"/>
  <c r="D96" i="51"/>
  <c r="V93" i="51"/>
  <c r="U93" i="51"/>
  <c r="T93" i="51"/>
  <c r="S93" i="51"/>
  <c r="R93" i="51"/>
  <c r="Q93" i="51"/>
  <c r="P93" i="51"/>
  <c r="O93" i="51"/>
  <c r="N93" i="51"/>
  <c r="M93" i="51"/>
  <c r="L93" i="51"/>
  <c r="K93" i="51"/>
  <c r="J93" i="51"/>
  <c r="I93" i="51"/>
  <c r="H93" i="51"/>
  <c r="G93" i="51"/>
  <c r="F93" i="51"/>
  <c r="E93" i="51"/>
  <c r="D93" i="51"/>
  <c r="V91" i="51"/>
  <c r="U91" i="51"/>
  <c r="T91" i="51"/>
  <c r="S91" i="51"/>
  <c r="R91" i="51"/>
  <c r="Q91" i="51"/>
  <c r="P91" i="51"/>
  <c r="O91" i="51"/>
  <c r="N91" i="51"/>
  <c r="M91" i="51"/>
  <c r="L91" i="51"/>
  <c r="K91" i="51"/>
  <c r="J91" i="51"/>
  <c r="I91" i="51"/>
  <c r="H91" i="51"/>
  <c r="G91" i="51"/>
  <c r="F91" i="51"/>
  <c r="E91" i="51"/>
  <c r="D91" i="51"/>
  <c r="V89" i="51"/>
  <c r="U89" i="51"/>
  <c r="T89" i="51"/>
  <c r="S89" i="51"/>
  <c r="R89" i="51"/>
  <c r="Q89" i="51"/>
  <c r="P89" i="51"/>
  <c r="O89" i="51"/>
  <c r="N89" i="51"/>
  <c r="M89" i="51"/>
  <c r="L89" i="51"/>
  <c r="K89" i="51"/>
  <c r="J89" i="51"/>
  <c r="I89" i="51"/>
  <c r="H89" i="51"/>
  <c r="G89" i="51"/>
  <c r="F89" i="51"/>
  <c r="E89" i="51"/>
  <c r="D89" i="51"/>
  <c r="V81" i="51"/>
  <c r="U81" i="51"/>
  <c r="T81" i="51"/>
  <c r="S81" i="51"/>
  <c r="R81" i="51"/>
  <c r="Q81" i="51"/>
  <c r="P81" i="51"/>
  <c r="O81" i="51"/>
  <c r="N81" i="51"/>
  <c r="M81" i="51"/>
  <c r="L81" i="51"/>
  <c r="K81" i="51"/>
  <c r="J81" i="51"/>
  <c r="I81" i="51"/>
  <c r="H81" i="51"/>
  <c r="G81" i="51"/>
  <c r="F81" i="51"/>
  <c r="E81" i="51"/>
  <c r="D81" i="51"/>
  <c r="C74" i="51"/>
  <c r="C73" i="51"/>
  <c r="C72" i="51"/>
  <c r="C71" i="51"/>
  <c r="C70" i="51"/>
  <c r="C69" i="51"/>
  <c r="C68" i="51"/>
  <c r="C67" i="51"/>
  <c r="C66" i="51"/>
  <c r="C65" i="51"/>
  <c r="C64" i="51"/>
  <c r="C58" i="51"/>
  <c r="C57" i="51"/>
  <c r="C56" i="51"/>
  <c r="C55" i="51"/>
  <c r="C54" i="51"/>
  <c r="C53" i="51"/>
  <c r="C52" i="51"/>
  <c r="C51" i="51"/>
  <c r="C50" i="51"/>
  <c r="C49" i="51"/>
  <c r="C48" i="51"/>
  <c r="V36" i="51"/>
  <c r="U36" i="51"/>
  <c r="T36" i="51"/>
  <c r="S36" i="51"/>
  <c r="R36" i="51"/>
  <c r="Q36" i="51"/>
  <c r="P36" i="51"/>
  <c r="O36" i="51"/>
  <c r="N36" i="51"/>
  <c r="M36" i="51"/>
  <c r="L36" i="51"/>
  <c r="K36" i="51"/>
  <c r="J36" i="51"/>
  <c r="I36" i="51"/>
  <c r="H36" i="51"/>
  <c r="G36" i="51"/>
  <c r="F36" i="51"/>
  <c r="E36" i="51"/>
  <c r="D36" i="51"/>
  <c r="V32" i="51"/>
  <c r="U32" i="51"/>
  <c r="T32" i="51"/>
  <c r="S32" i="51"/>
  <c r="R32" i="51"/>
  <c r="Q32" i="51"/>
  <c r="P32" i="51"/>
  <c r="O32" i="51"/>
  <c r="N32" i="51"/>
  <c r="M32" i="51"/>
  <c r="L32" i="51"/>
  <c r="K32" i="51"/>
  <c r="J32" i="51"/>
  <c r="I32" i="51"/>
  <c r="H32" i="51"/>
  <c r="G32" i="51"/>
  <c r="F32" i="51"/>
  <c r="E32" i="51"/>
  <c r="D32" i="51"/>
  <c r="C26" i="51"/>
  <c r="E24" i="51"/>
  <c r="V22" i="51"/>
  <c r="U22" i="51"/>
  <c r="T22" i="51"/>
  <c r="S22" i="51"/>
  <c r="R22" i="51"/>
  <c r="Q22" i="51"/>
  <c r="P22" i="51"/>
  <c r="O22" i="51"/>
  <c r="N22" i="51"/>
  <c r="M22" i="51"/>
  <c r="L22" i="51"/>
  <c r="K22" i="51"/>
  <c r="J22" i="51"/>
  <c r="I22" i="51"/>
  <c r="H22" i="51"/>
  <c r="G22" i="51"/>
  <c r="F22" i="51"/>
  <c r="E22" i="51"/>
  <c r="D22" i="51"/>
  <c r="V18" i="51"/>
  <c r="U18" i="51"/>
  <c r="T18" i="51"/>
  <c r="S18" i="51"/>
  <c r="R18" i="51"/>
  <c r="Q18" i="51"/>
  <c r="P18" i="51"/>
  <c r="O18" i="51"/>
  <c r="N18" i="51"/>
  <c r="M18" i="51"/>
  <c r="L18" i="51"/>
  <c r="K18" i="51"/>
  <c r="J18" i="51"/>
  <c r="I18" i="51"/>
  <c r="H18" i="51"/>
  <c r="G18" i="51"/>
  <c r="F18" i="51"/>
  <c r="E18" i="51"/>
  <c r="D18" i="51"/>
  <c r="V101" i="50"/>
  <c r="U101" i="50"/>
  <c r="T101" i="50"/>
  <c r="S101" i="50"/>
  <c r="R101" i="50"/>
  <c r="Q101" i="50"/>
  <c r="P101" i="50"/>
  <c r="O101" i="50"/>
  <c r="N101" i="50"/>
  <c r="M101" i="50"/>
  <c r="L101" i="50"/>
  <c r="K101" i="50"/>
  <c r="J101" i="50"/>
  <c r="I101" i="50"/>
  <c r="H101" i="50"/>
  <c r="G101" i="50"/>
  <c r="F101" i="50"/>
  <c r="E101" i="50"/>
  <c r="D101" i="50"/>
  <c r="V96" i="50"/>
  <c r="U96" i="50"/>
  <c r="T96" i="50"/>
  <c r="S96" i="50"/>
  <c r="R96" i="50"/>
  <c r="Q96" i="50"/>
  <c r="P96" i="50"/>
  <c r="O96" i="50"/>
  <c r="N96" i="50"/>
  <c r="M96" i="50"/>
  <c r="L96" i="50"/>
  <c r="K96" i="50"/>
  <c r="J96" i="50"/>
  <c r="I96" i="50"/>
  <c r="H96" i="50"/>
  <c r="G96" i="50"/>
  <c r="F96" i="50"/>
  <c r="E96" i="50"/>
  <c r="D96" i="50"/>
  <c r="V91" i="50"/>
  <c r="U91" i="50"/>
  <c r="T91" i="50"/>
  <c r="S91" i="50"/>
  <c r="R91" i="50"/>
  <c r="Q91" i="50"/>
  <c r="P91" i="50"/>
  <c r="O91" i="50"/>
  <c r="N91" i="50"/>
  <c r="M91" i="50"/>
  <c r="L91" i="50"/>
  <c r="K91" i="50"/>
  <c r="J91" i="50"/>
  <c r="I91" i="50"/>
  <c r="H91" i="50"/>
  <c r="G91" i="50"/>
  <c r="F91" i="50"/>
  <c r="E91" i="50"/>
  <c r="D91" i="50"/>
  <c r="Y7" i="50"/>
  <c r="W7" i="50"/>
  <c r="V7" i="50"/>
  <c r="V99" i="49"/>
  <c r="U99" i="49"/>
  <c r="T99" i="49"/>
  <c r="S99" i="49"/>
  <c r="R99" i="49"/>
  <c r="Q99" i="49"/>
  <c r="P99" i="49"/>
  <c r="O99" i="49"/>
  <c r="N99" i="49"/>
  <c r="M99" i="49"/>
  <c r="L99" i="49"/>
  <c r="K99" i="49"/>
  <c r="J99" i="49"/>
  <c r="I99" i="49"/>
  <c r="H99" i="49"/>
  <c r="G99" i="49"/>
  <c r="F99" i="49"/>
  <c r="E99" i="49"/>
  <c r="D99" i="49"/>
  <c r="V95" i="49"/>
  <c r="U95" i="49"/>
  <c r="T95" i="49"/>
  <c r="S95" i="49"/>
  <c r="R95" i="49"/>
  <c r="Q95" i="49"/>
  <c r="P95" i="49"/>
  <c r="O95" i="49"/>
  <c r="N95" i="49"/>
  <c r="M95" i="49"/>
  <c r="L95" i="49"/>
  <c r="K95" i="49"/>
  <c r="J95" i="49"/>
  <c r="I95" i="49"/>
  <c r="H95" i="49"/>
  <c r="G95" i="49"/>
  <c r="F95" i="49"/>
  <c r="E95" i="49"/>
  <c r="D95" i="49"/>
  <c r="V92" i="49"/>
  <c r="U92" i="49"/>
  <c r="T92" i="49"/>
  <c r="S92" i="49"/>
  <c r="R92" i="49"/>
  <c r="Q92" i="49"/>
  <c r="P92" i="49"/>
  <c r="O92" i="49"/>
  <c r="N92" i="49"/>
  <c r="M92" i="49"/>
  <c r="L92" i="49"/>
  <c r="K92" i="49"/>
  <c r="J92" i="49"/>
  <c r="I92" i="49"/>
  <c r="H92" i="49"/>
  <c r="G92" i="49"/>
  <c r="F92" i="49"/>
  <c r="E92" i="49"/>
  <c r="D92" i="49"/>
  <c r="V89" i="49"/>
  <c r="U89" i="49"/>
  <c r="T89" i="49"/>
  <c r="S89" i="49"/>
  <c r="R89" i="49"/>
  <c r="Q89" i="49"/>
  <c r="P89" i="49"/>
  <c r="O89" i="49"/>
  <c r="N89" i="49"/>
  <c r="M89" i="49"/>
  <c r="L89" i="49"/>
  <c r="K89" i="49"/>
  <c r="J89" i="49"/>
  <c r="I89" i="49"/>
  <c r="H89" i="49"/>
  <c r="G89" i="49"/>
  <c r="F89" i="49"/>
  <c r="E89" i="49"/>
  <c r="D89" i="49"/>
  <c r="V83" i="49"/>
  <c r="U83" i="49"/>
  <c r="T83" i="49"/>
  <c r="S83" i="49"/>
  <c r="R83" i="49"/>
  <c r="Q83" i="49"/>
  <c r="P83" i="49"/>
  <c r="O83" i="49"/>
  <c r="N83" i="49"/>
  <c r="M83" i="49"/>
  <c r="L83" i="49"/>
  <c r="K83" i="49"/>
  <c r="J83" i="49"/>
  <c r="I83" i="49"/>
  <c r="H83" i="49"/>
  <c r="G83" i="49"/>
  <c r="F83" i="49"/>
  <c r="E83" i="49"/>
  <c r="D83" i="49"/>
  <c r="C76" i="49"/>
  <c r="C75" i="49"/>
  <c r="C74" i="49"/>
  <c r="C73" i="49"/>
  <c r="C72" i="49"/>
  <c r="C71" i="49"/>
  <c r="C70" i="49"/>
  <c r="C69" i="49"/>
  <c r="C68" i="49"/>
  <c r="C67" i="49"/>
  <c r="C66" i="49"/>
  <c r="V35" i="49"/>
  <c r="U35" i="49"/>
  <c r="T35" i="49"/>
  <c r="S35" i="49"/>
  <c r="R35" i="49"/>
  <c r="Q35" i="49"/>
  <c r="P35" i="49"/>
  <c r="O35" i="49"/>
  <c r="N35" i="49"/>
  <c r="M35" i="49"/>
  <c r="L35" i="49"/>
  <c r="K35" i="49"/>
  <c r="J35" i="49"/>
  <c r="I35" i="49"/>
  <c r="H35" i="49"/>
  <c r="G35" i="49"/>
  <c r="F35" i="49"/>
  <c r="E35" i="49"/>
  <c r="D35" i="49"/>
  <c r="V31" i="49"/>
  <c r="U31" i="49"/>
  <c r="T31" i="49"/>
  <c r="S31" i="49"/>
  <c r="R31" i="49"/>
  <c r="Q31" i="49"/>
  <c r="P31" i="49"/>
  <c r="O31" i="49"/>
  <c r="N31" i="49"/>
  <c r="M31" i="49"/>
  <c r="L31" i="49"/>
  <c r="K31" i="49"/>
  <c r="J31" i="49"/>
  <c r="I31" i="49"/>
  <c r="H31" i="49"/>
  <c r="G31" i="49"/>
  <c r="F31" i="49"/>
  <c r="E31" i="49"/>
  <c r="D31" i="49"/>
  <c r="C27" i="49"/>
  <c r="F25" i="49"/>
  <c r="V22" i="49"/>
  <c r="U22" i="49"/>
  <c r="T22" i="49"/>
  <c r="S22" i="49"/>
  <c r="R22" i="49"/>
  <c r="Q22" i="49"/>
  <c r="P22" i="49"/>
  <c r="O22" i="49"/>
  <c r="N22" i="49"/>
  <c r="M22" i="49"/>
  <c r="L22" i="49"/>
  <c r="K22" i="49"/>
  <c r="J22" i="49"/>
  <c r="I22" i="49"/>
  <c r="H22" i="49"/>
  <c r="G22" i="49"/>
  <c r="F22" i="49"/>
  <c r="E22" i="49"/>
  <c r="D22" i="49"/>
  <c r="V19" i="49"/>
  <c r="U19" i="49"/>
  <c r="T19" i="49"/>
  <c r="S19" i="49"/>
  <c r="R19" i="49"/>
  <c r="Q19" i="49"/>
  <c r="P19" i="49"/>
  <c r="O19" i="49"/>
  <c r="N19" i="49"/>
  <c r="M19" i="49"/>
  <c r="L19" i="49"/>
  <c r="K19" i="49"/>
  <c r="J19" i="49"/>
  <c r="I19" i="49"/>
  <c r="H19" i="49"/>
  <c r="G19" i="49"/>
  <c r="F19" i="49"/>
  <c r="E19" i="49"/>
  <c r="D19" i="49"/>
  <c r="C30" i="28"/>
  <c r="E29" i="28"/>
  <c r="D29" i="28"/>
  <c r="C29" i="28"/>
  <c r="J27" i="28"/>
  <c r="I27" i="28"/>
  <c r="H27" i="28"/>
  <c r="G27" i="28"/>
  <c r="J13" i="28"/>
  <c r="I13" i="28"/>
  <c r="H13" i="28"/>
  <c r="G13" i="28"/>
  <c r="F13" i="28"/>
  <c r="E13" i="28"/>
  <c r="D13" i="28"/>
  <c r="C13" i="28"/>
  <c r="J6" i="28"/>
  <c r="I6" i="28"/>
  <c r="H6" i="28"/>
  <c r="F6" i="28"/>
  <c r="E6" i="28"/>
  <c r="D6" i="28"/>
  <c r="C37" i="27"/>
  <c r="E36" i="27"/>
  <c r="D36" i="27"/>
  <c r="C36" i="27"/>
  <c r="B36" i="27"/>
  <c r="J34" i="27"/>
  <c r="I34" i="27"/>
  <c r="H34" i="27"/>
  <c r="G34" i="27"/>
  <c r="J20" i="27"/>
  <c r="I20" i="27"/>
  <c r="H20" i="27"/>
  <c r="G20" i="27"/>
  <c r="F20" i="27"/>
  <c r="E20" i="27"/>
  <c r="D20" i="27"/>
  <c r="C20" i="27"/>
  <c r="K15" i="27"/>
  <c r="J15" i="27"/>
  <c r="I15" i="27"/>
  <c r="H15" i="27"/>
  <c r="F15" i="27"/>
  <c r="E15" i="27"/>
  <c r="D15" i="27"/>
  <c r="C15" i="27"/>
  <c r="K14" i="27"/>
  <c r="J14" i="27"/>
  <c r="I14" i="27"/>
  <c r="H14" i="27"/>
  <c r="F14" i="27"/>
  <c r="E14" i="27"/>
  <c r="D14" i="27"/>
  <c r="C14" i="27"/>
  <c r="K13" i="27"/>
  <c r="J13" i="27"/>
  <c r="I13" i="27"/>
  <c r="H13" i="27"/>
  <c r="F13" i="27"/>
  <c r="E13" i="27"/>
  <c r="D13" i="27"/>
  <c r="C13" i="27"/>
  <c r="K12" i="27"/>
  <c r="J12" i="27"/>
  <c r="I12" i="27"/>
  <c r="H12" i="27"/>
  <c r="F12" i="27"/>
  <c r="E12" i="27"/>
  <c r="D12" i="27"/>
  <c r="C12" i="27"/>
  <c r="J7" i="27"/>
  <c r="I7" i="27"/>
  <c r="H7" i="27"/>
  <c r="G7" i="27"/>
  <c r="F7" i="27"/>
  <c r="E7" i="27"/>
  <c r="D7" i="27"/>
  <c r="C7" i="27"/>
  <c r="U26" i="26"/>
  <c r="T26" i="26"/>
  <c r="S26" i="26"/>
  <c r="R26" i="26"/>
  <c r="Q26" i="26"/>
  <c r="P26" i="26"/>
  <c r="O26" i="26"/>
  <c r="N26" i="26"/>
  <c r="M26" i="26"/>
  <c r="L26" i="26"/>
  <c r="K26" i="26"/>
  <c r="J26" i="26"/>
  <c r="I26" i="26"/>
  <c r="H26" i="26"/>
  <c r="G26" i="26"/>
  <c r="F26" i="26"/>
  <c r="E26" i="26"/>
  <c r="D26" i="26"/>
  <c r="C26" i="26"/>
  <c r="U25" i="26"/>
  <c r="T25" i="26"/>
  <c r="S25" i="26"/>
  <c r="R25" i="26"/>
  <c r="Q25" i="26"/>
  <c r="P25" i="26"/>
  <c r="O25" i="26"/>
  <c r="N25" i="26"/>
  <c r="M25" i="26"/>
  <c r="L25" i="26"/>
  <c r="K25" i="26"/>
  <c r="J25" i="26"/>
  <c r="I25" i="26"/>
  <c r="H25" i="26"/>
  <c r="G25" i="26"/>
  <c r="F25" i="26"/>
  <c r="E25" i="26"/>
  <c r="D25" i="26"/>
  <c r="C25" i="26"/>
  <c r="U24" i="26"/>
  <c r="T24" i="26"/>
  <c r="S24" i="26"/>
  <c r="R24" i="26"/>
  <c r="Q24" i="26"/>
  <c r="P24" i="26"/>
  <c r="O24" i="26"/>
  <c r="N24" i="26"/>
  <c r="M24" i="26"/>
  <c r="L24" i="26"/>
  <c r="K24" i="26"/>
  <c r="J24" i="26"/>
  <c r="I24" i="26"/>
  <c r="H24" i="26"/>
  <c r="G24" i="26"/>
  <c r="F24" i="26"/>
  <c r="E24" i="26"/>
  <c r="D24" i="26"/>
  <c r="C24" i="26"/>
  <c r="U23" i="26"/>
  <c r="T23" i="26"/>
  <c r="S23" i="26"/>
  <c r="R23" i="26"/>
  <c r="Q23" i="26"/>
  <c r="P23" i="26"/>
  <c r="O23" i="26"/>
  <c r="N23" i="26"/>
  <c r="M23" i="26"/>
  <c r="L23" i="26"/>
  <c r="K23" i="26"/>
  <c r="J23" i="26"/>
  <c r="I23" i="26"/>
  <c r="H23" i="26"/>
  <c r="G23" i="26"/>
  <c r="F23" i="26"/>
  <c r="E23" i="26"/>
  <c r="D23" i="26"/>
  <c r="C23" i="26"/>
  <c r="T19" i="26"/>
  <c r="S19" i="26"/>
  <c r="R19" i="26"/>
  <c r="Q19" i="26"/>
  <c r="P19" i="26"/>
  <c r="O19" i="26"/>
  <c r="N19" i="26"/>
  <c r="M19" i="26"/>
  <c r="L19" i="26"/>
  <c r="K19" i="26"/>
  <c r="J19" i="26"/>
  <c r="I19" i="26"/>
  <c r="H19" i="26"/>
  <c r="G19" i="26"/>
  <c r="F19" i="26"/>
  <c r="E19" i="26"/>
  <c r="D19" i="26"/>
  <c r="C19" i="26"/>
  <c r="B19" i="26"/>
  <c r="E14" i="26"/>
  <c r="D14" i="26"/>
  <c r="C14" i="26"/>
  <c r="E13" i="26"/>
  <c r="D13" i="26"/>
  <c r="C13" i="26"/>
  <c r="E12" i="26"/>
  <c r="D12" i="26"/>
  <c r="C12" i="26"/>
  <c r="E11" i="26"/>
  <c r="D11" i="26"/>
  <c r="C11" i="26"/>
  <c r="J7" i="26"/>
  <c r="I7" i="26"/>
  <c r="H7" i="26"/>
  <c r="G7" i="26"/>
  <c r="F7" i="26"/>
  <c r="E7" i="26"/>
  <c r="D7" i="26"/>
  <c r="C7" i="26"/>
  <c r="U10" i="23"/>
  <c r="T10" i="23"/>
  <c r="S10" i="23"/>
  <c r="R10" i="23"/>
  <c r="Q10" i="23"/>
  <c r="P10" i="23"/>
  <c r="O10" i="23"/>
  <c r="N10" i="23"/>
  <c r="M10" i="23"/>
  <c r="L10" i="23"/>
  <c r="K10" i="23"/>
  <c r="J10" i="23"/>
  <c r="I10" i="23"/>
  <c r="H10" i="23"/>
  <c r="G10" i="23"/>
  <c r="F10" i="23"/>
  <c r="E10" i="23"/>
  <c r="D10" i="23"/>
  <c r="C10" i="23"/>
  <c r="U9" i="23"/>
  <c r="T9" i="23"/>
  <c r="S9" i="23"/>
  <c r="R9" i="23"/>
  <c r="Q9" i="23"/>
  <c r="P9" i="23"/>
  <c r="O9" i="23"/>
  <c r="N9" i="23"/>
  <c r="M9" i="23"/>
  <c r="L9" i="23"/>
  <c r="K9" i="23"/>
  <c r="J9" i="23"/>
  <c r="I9" i="23"/>
  <c r="H9" i="23"/>
  <c r="G9" i="23"/>
  <c r="F9" i="23"/>
  <c r="E9" i="23"/>
  <c r="D9" i="23"/>
  <c r="C9" i="23"/>
  <c r="U8" i="23"/>
  <c r="T8" i="23"/>
  <c r="S8" i="23"/>
  <c r="R8" i="23"/>
  <c r="Q8" i="23"/>
  <c r="P8" i="23"/>
  <c r="O8" i="23"/>
  <c r="N8" i="23"/>
  <c r="M8" i="23"/>
  <c r="L8" i="23"/>
  <c r="K8" i="23"/>
  <c r="J8" i="23"/>
  <c r="I8" i="23"/>
  <c r="H8" i="23"/>
  <c r="G8" i="23"/>
  <c r="F8" i="23"/>
  <c r="E8" i="23"/>
  <c r="D8" i="23"/>
  <c r="C8" i="23"/>
  <c r="U7" i="23"/>
  <c r="T7" i="23"/>
  <c r="V49" i="22"/>
  <c r="U49" i="22"/>
  <c r="T49" i="22"/>
  <c r="S49" i="22"/>
  <c r="R49" i="22"/>
  <c r="Q49" i="22"/>
  <c r="P49" i="22"/>
  <c r="O49" i="22"/>
  <c r="N49" i="22"/>
  <c r="M49" i="22"/>
  <c r="L49" i="22"/>
  <c r="K49" i="22"/>
  <c r="J49" i="22"/>
  <c r="I49" i="22"/>
  <c r="H49" i="22"/>
  <c r="G49" i="22"/>
  <c r="F49" i="22"/>
  <c r="E49" i="22"/>
  <c r="D49" i="22"/>
  <c r="V45" i="22"/>
  <c r="U45" i="22"/>
  <c r="T45" i="22"/>
  <c r="S45" i="22"/>
  <c r="R45" i="22"/>
  <c r="Q45" i="22"/>
  <c r="P45" i="22"/>
  <c r="O45" i="22"/>
  <c r="N45" i="22"/>
  <c r="M45" i="22"/>
  <c r="L45" i="22"/>
  <c r="K45" i="22"/>
  <c r="J45" i="22"/>
  <c r="I45" i="22"/>
  <c r="H45" i="22"/>
  <c r="G45" i="22"/>
  <c r="F45" i="22"/>
  <c r="E45" i="22"/>
  <c r="D45" i="22"/>
  <c r="V42" i="22"/>
  <c r="U42" i="22"/>
  <c r="T42" i="22"/>
  <c r="S42" i="22"/>
  <c r="R42" i="22"/>
  <c r="Q42" i="22"/>
  <c r="P42" i="22"/>
  <c r="O42" i="22"/>
  <c r="N42" i="22"/>
  <c r="M42" i="22"/>
  <c r="L42" i="22"/>
  <c r="K42" i="22"/>
  <c r="J42" i="22"/>
  <c r="I42" i="22"/>
  <c r="H42" i="22"/>
  <c r="G42" i="22"/>
  <c r="F42" i="22"/>
  <c r="E42" i="22"/>
  <c r="D42" i="22"/>
  <c r="V38" i="22"/>
  <c r="U38" i="22"/>
  <c r="T38" i="22"/>
  <c r="S38" i="22"/>
  <c r="R38" i="22"/>
  <c r="Q38" i="22"/>
  <c r="P38" i="22"/>
  <c r="O38" i="22"/>
  <c r="N38" i="22"/>
  <c r="M38" i="22"/>
  <c r="L38" i="22"/>
  <c r="K38" i="22"/>
  <c r="J38" i="22"/>
  <c r="I38" i="22"/>
  <c r="H38" i="22"/>
  <c r="G38" i="22"/>
  <c r="F38" i="22"/>
  <c r="E38" i="22"/>
  <c r="D38" i="22"/>
  <c r="B34" i="22"/>
  <c r="V27" i="22"/>
  <c r="U27" i="22"/>
  <c r="T27" i="22"/>
  <c r="S27" i="22"/>
  <c r="R27" i="22"/>
  <c r="Q27" i="22"/>
  <c r="P27" i="22"/>
  <c r="O27" i="22"/>
  <c r="N27" i="22"/>
  <c r="M27" i="22"/>
  <c r="L27" i="22"/>
  <c r="K27" i="22"/>
  <c r="J27" i="22"/>
  <c r="I27" i="22"/>
  <c r="H27" i="22"/>
  <c r="G27" i="22"/>
  <c r="F27" i="22"/>
  <c r="E27" i="22"/>
  <c r="D27" i="22"/>
  <c r="V8" i="22"/>
  <c r="U8" i="22"/>
  <c r="T8" i="22"/>
  <c r="S8" i="22"/>
  <c r="R8" i="22"/>
  <c r="Q8" i="22"/>
  <c r="P8" i="22"/>
  <c r="O8" i="22"/>
  <c r="N8" i="22"/>
  <c r="M8" i="22"/>
  <c r="L8" i="22"/>
  <c r="K8" i="22"/>
  <c r="J8" i="22"/>
  <c r="I8" i="22"/>
  <c r="H8" i="22"/>
  <c r="G8" i="22"/>
  <c r="F8" i="22"/>
  <c r="E8" i="22"/>
  <c r="D8" i="22"/>
  <c r="V4" i="22"/>
  <c r="U4" i="22"/>
  <c r="T4" i="22"/>
  <c r="S4" i="22"/>
  <c r="R4" i="22"/>
  <c r="Q4" i="22"/>
  <c r="P4" i="22"/>
  <c r="O4" i="22"/>
  <c r="N4" i="22"/>
  <c r="M4" i="22"/>
  <c r="L4" i="22"/>
  <c r="K4" i="22"/>
  <c r="J4" i="22"/>
  <c r="I4" i="22"/>
  <c r="H4" i="22"/>
  <c r="G4" i="22"/>
  <c r="F4" i="22"/>
  <c r="E4" i="22"/>
  <c r="D4" i="22"/>
  <c r="V101" i="21"/>
  <c r="U101" i="21"/>
  <c r="T101" i="21"/>
  <c r="S101" i="21"/>
  <c r="R101" i="21"/>
  <c r="Q101" i="21"/>
  <c r="P101" i="21"/>
  <c r="O101" i="21"/>
  <c r="N101" i="21"/>
  <c r="M101" i="21"/>
  <c r="L101" i="21"/>
  <c r="K101" i="21"/>
  <c r="J101" i="21"/>
  <c r="I101" i="21"/>
  <c r="H101" i="21"/>
  <c r="G101" i="21"/>
  <c r="F101" i="21"/>
  <c r="E101" i="21"/>
  <c r="D101" i="21"/>
  <c r="V98" i="21"/>
  <c r="U98" i="21"/>
  <c r="T98" i="21"/>
  <c r="S98" i="21"/>
  <c r="R98" i="21"/>
  <c r="Q98" i="21"/>
  <c r="P98" i="21"/>
  <c r="O98" i="21"/>
  <c r="N98" i="21"/>
  <c r="M98" i="21"/>
  <c r="L98" i="21"/>
  <c r="K98" i="21"/>
  <c r="J98" i="21"/>
  <c r="I98" i="21"/>
  <c r="H98" i="21"/>
  <c r="G98" i="21"/>
  <c r="F98" i="21"/>
  <c r="E98" i="21"/>
  <c r="D98" i="21"/>
  <c r="V95" i="21"/>
  <c r="U95" i="21"/>
  <c r="T95" i="21"/>
  <c r="S95" i="21"/>
  <c r="R95" i="21"/>
  <c r="Q95" i="21"/>
  <c r="P95" i="21"/>
  <c r="O95" i="21"/>
  <c r="N95" i="21"/>
  <c r="M95" i="21"/>
  <c r="L95" i="21"/>
  <c r="K95" i="21"/>
  <c r="J95" i="21"/>
  <c r="I95" i="21"/>
  <c r="H95" i="21"/>
  <c r="G95" i="21"/>
  <c r="F95" i="21"/>
  <c r="E95" i="21"/>
  <c r="D95" i="21"/>
  <c r="V94" i="21"/>
  <c r="U94" i="21"/>
  <c r="T94" i="21"/>
  <c r="S94" i="21"/>
  <c r="R94" i="21"/>
  <c r="Q94" i="21"/>
  <c r="P94" i="21"/>
  <c r="O94" i="21"/>
  <c r="N94" i="21"/>
  <c r="M94" i="21"/>
  <c r="L94" i="21"/>
  <c r="K94" i="21"/>
  <c r="J94" i="21"/>
  <c r="I94" i="21"/>
  <c r="H94" i="21"/>
  <c r="G94" i="21"/>
  <c r="F94" i="21"/>
  <c r="E94" i="21"/>
  <c r="D94" i="21"/>
  <c r="V91" i="21"/>
  <c r="U91" i="21"/>
  <c r="T91" i="21"/>
  <c r="S91" i="21"/>
  <c r="R91" i="21"/>
  <c r="Q91" i="21"/>
  <c r="P91" i="21"/>
  <c r="O91" i="21"/>
  <c r="N91" i="21"/>
  <c r="M91" i="21"/>
  <c r="L91" i="21"/>
  <c r="K91" i="21"/>
  <c r="J91" i="21"/>
  <c r="I91" i="21"/>
  <c r="H91" i="21"/>
  <c r="G91" i="21"/>
  <c r="F91" i="21"/>
  <c r="E91" i="21"/>
  <c r="D91" i="21"/>
  <c r="V87" i="21"/>
  <c r="U87" i="21"/>
  <c r="T87" i="21"/>
  <c r="S87" i="21"/>
  <c r="R87" i="21"/>
  <c r="Q87" i="21"/>
  <c r="P87" i="21"/>
  <c r="O87" i="21"/>
  <c r="N87" i="21"/>
  <c r="M87" i="21"/>
  <c r="L87" i="21"/>
  <c r="K87" i="21"/>
  <c r="J87" i="21"/>
  <c r="I87" i="21"/>
  <c r="H87" i="21"/>
  <c r="G87" i="21"/>
  <c r="F87" i="21"/>
  <c r="E87" i="21"/>
  <c r="D87" i="21"/>
  <c r="V84" i="21"/>
  <c r="U84" i="21"/>
  <c r="T84" i="21"/>
  <c r="S84" i="21"/>
  <c r="R84" i="21"/>
  <c r="Q84" i="21"/>
  <c r="P84" i="21"/>
  <c r="O84" i="21"/>
  <c r="N84" i="21"/>
  <c r="M84" i="21"/>
  <c r="L84" i="21"/>
  <c r="K84" i="21"/>
  <c r="J84" i="21"/>
  <c r="I84" i="21"/>
  <c r="H84" i="21"/>
  <c r="G84" i="21"/>
  <c r="F84" i="21"/>
  <c r="E84" i="21"/>
  <c r="D84" i="21"/>
  <c r="V81" i="21"/>
  <c r="U81" i="21"/>
  <c r="T81" i="21"/>
  <c r="S81" i="21"/>
  <c r="R81" i="21"/>
  <c r="Q81" i="21"/>
  <c r="P81" i="21"/>
  <c r="O81" i="21"/>
  <c r="N81" i="21"/>
  <c r="M81" i="21"/>
  <c r="L81" i="21"/>
  <c r="K81" i="21"/>
  <c r="J81" i="21"/>
  <c r="I81" i="21"/>
  <c r="H81" i="21"/>
  <c r="G81" i="21"/>
  <c r="F81" i="21"/>
  <c r="E81" i="21"/>
  <c r="D81" i="21"/>
  <c r="W77" i="21"/>
  <c r="V77" i="21"/>
  <c r="U77" i="21"/>
  <c r="T77" i="21"/>
  <c r="S77" i="21"/>
  <c r="R77" i="21"/>
  <c r="Q77" i="21"/>
  <c r="P77" i="21"/>
  <c r="O77" i="21"/>
  <c r="N77" i="21"/>
  <c r="M77" i="21"/>
  <c r="L77" i="21"/>
  <c r="K77" i="21"/>
  <c r="J77" i="21"/>
  <c r="I77" i="21"/>
  <c r="H77" i="21"/>
  <c r="G77" i="21"/>
  <c r="F77" i="21"/>
  <c r="E77" i="21"/>
  <c r="D77" i="21"/>
  <c r="W76" i="21"/>
  <c r="V76" i="21"/>
  <c r="U76" i="21"/>
  <c r="T76" i="21"/>
  <c r="S76" i="21"/>
  <c r="R76" i="21"/>
  <c r="Q76" i="21"/>
  <c r="P76" i="21"/>
  <c r="O76" i="21"/>
  <c r="N76" i="21"/>
  <c r="M76" i="21"/>
  <c r="L76" i="21"/>
  <c r="K76" i="21"/>
  <c r="J76" i="21"/>
  <c r="I76" i="21"/>
  <c r="H76" i="21"/>
  <c r="G76" i="21"/>
  <c r="F76" i="21"/>
  <c r="E76" i="21"/>
  <c r="D76" i="21"/>
  <c r="W75" i="21"/>
  <c r="V75" i="21"/>
  <c r="U75" i="21"/>
  <c r="T75" i="21"/>
  <c r="S75" i="21"/>
  <c r="R75" i="21"/>
  <c r="Q75" i="21"/>
  <c r="P75" i="21"/>
  <c r="O75" i="21"/>
  <c r="N75" i="21"/>
  <c r="M75" i="21"/>
  <c r="L75" i="21"/>
  <c r="K75" i="21"/>
  <c r="J75" i="21"/>
  <c r="I75" i="21"/>
  <c r="H75" i="21"/>
  <c r="G75" i="21"/>
  <c r="F75" i="21"/>
  <c r="E75" i="21"/>
  <c r="D75" i="21"/>
  <c r="W72" i="21"/>
  <c r="V72" i="21"/>
  <c r="U72" i="21"/>
  <c r="T72" i="21"/>
  <c r="S72" i="21"/>
  <c r="R72" i="21"/>
  <c r="Q72" i="21"/>
  <c r="P72" i="21"/>
  <c r="O72" i="21"/>
  <c r="N72" i="21"/>
  <c r="M72" i="21"/>
  <c r="L72" i="21"/>
  <c r="K72" i="21"/>
  <c r="J72" i="21"/>
  <c r="I72" i="21"/>
  <c r="H72" i="21"/>
  <c r="G72" i="21"/>
  <c r="F72" i="21"/>
  <c r="E72" i="21"/>
  <c r="D72" i="21"/>
  <c r="W71" i="21"/>
  <c r="V71" i="21"/>
  <c r="U71" i="21"/>
  <c r="T71" i="21"/>
  <c r="S71" i="21"/>
  <c r="R71" i="21"/>
  <c r="Q71" i="21"/>
  <c r="P71" i="21"/>
  <c r="O71" i="21"/>
  <c r="N71" i="21"/>
  <c r="M71" i="21"/>
  <c r="L71" i="21"/>
  <c r="K71" i="21"/>
  <c r="J71" i="21"/>
  <c r="I71" i="21"/>
  <c r="H71" i="21"/>
  <c r="G71" i="21"/>
  <c r="F71" i="21"/>
  <c r="E71" i="21"/>
  <c r="D71" i="21"/>
  <c r="W70" i="21"/>
  <c r="V70" i="21"/>
  <c r="U70" i="21"/>
  <c r="T70" i="21"/>
  <c r="S70" i="21"/>
  <c r="R70" i="21"/>
  <c r="Q70" i="21"/>
  <c r="P70" i="21"/>
  <c r="O70" i="21"/>
  <c r="N70" i="21"/>
  <c r="M70" i="21"/>
  <c r="L70" i="21"/>
  <c r="K70" i="21"/>
  <c r="J70" i="21"/>
  <c r="I70" i="21"/>
  <c r="H70" i="21"/>
  <c r="G70" i="21"/>
  <c r="F70" i="21"/>
  <c r="E70" i="21"/>
  <c r="D70" i="21"/>
  <c r="V60" i="21"/>
  <c r="U60" i="21"/>
  <c r="T60" i="21"/>
  <c r="S60" i="21"/>
  <c r="R60" i="21"/>
  <c r="Q60" i="21"/>
  <c r="P60" i="21"/>
  <c r="O60" i="21"/>
  <c r="N60" i="21"/>
  <c r="M60" i="21"/>
  <c r="L60" i="21"/>
  <c r="K60" i="21"/>
  <c r="J60" i="21"/>
  <c r="I60" i="21"/>
  <c r="H60" i="21"/>
  <c r="G60" i="21"/>
  <c r="F60" i="21"/>
  <c r="E60" i="21"/>
  <c r="D60" i="21"/>
  <c r="V59" i="21"/>
  <c r="U59" i="21"/>
  <c r="T59" i="21"/>
  <c r="S59" i="21"/>
  <c r="R59" i="21"/>
  <c r="Q59" i="21"/>
  <c r="P59" i="21"/>
  <c r="O59" i="21"/>
  <c r="N59" i="21"/>
  <c r="M59" i="21"/>
  <c r="L59" i="21"/>
  <c r="K59" i="21"/>
  <c r="J59" i="21"/>
  <c r="I59" i="21"/>
  <c r="H59" i="21"/>
  <c r="G59" i="21"/>
  <c r="F59" i="21"/>
  <c r="E59" i="21"/>
  <c r="D59" i="21"/>
  <c r="V58" i="21"/>
  <c r="U58" i="21"/>
  <c r="T58" i="21"/>
  <c r="S58" i="21"/>
  <c r="R58" i="21"/>
  <c r="Q58" i="21"/>
  <c r="P58" i="21"/>
  <c r="O58" i="21"/>
  <c r="N58" i="21"/>
  <c r="M58" i="21"/>
  <c r="L58" i="21"/>
  <c r="K58" i="21"/>
  <c r="J58" i="21"/>
  <c r="I58" i="21"/>
  <c r="H58" i="21"/>
  <c r="G58" i="21"/>
  <c r="F58" i="21"/>
  <c r="E58" i="21"/>
  <c r="D58" i="21"/>
  <c r="N54" i="21"/>
  <c r="M54" i="21"/>
  <c r="L54" i="21"/>
  <c r="K54" i="21"/>
  <c r="J54" i="21"/>
  <c r="I54" i="21"/>
  <c r="H54" i="21"/>
  <c r="G54" i="21"/>
  <c r="F54" i="21"/>
  <c r="E54" i="21"/>
  <c r="D54" i="21"/>
  <c r="V53" i="21"/>
  <c r="U53" i="21"/>
  <c r="T53" i="21"/>
  <c r="S53" i="21"/>
  <c r="R53" i="21"/>
  <c r="Q53" i="21"/>
  <c r="P53" i="21"/>
  <c r="O53" i="21"/>
  <c r="N53" i="21"/>
  <c r="M53" i="21"/>
  <c r="L53" i="21"/>
  <c r="K53" i="21"/>
  <c r="J53" i="21"/>
  <c r="I53" i="21"/>
  <c r="H53" i="21"/>
  <c r="G53" i="21"/>
  <c r="F53" i="21"/>
  <c r="E53" i="21"/>
  <c r="D53" i="21"/>
  <c r="N52" i="21"/>
  <c r="M52" i="21"/>
  <c r="L52" i="21"/>
  <c r="K52" i="21"/>
  <c r="J52" i="21"/>
  <c r="I52" i="21"/>
  <c r="H52" i="21"/>
  <c r="G52" i="21"/>
  <c r="F52" i="21"/>
  <c r="E52" i="21"/>
  <c r="D52" i="21"/>
  <c r="N51" i="21"/>
  <c r="M51" i="21"/>
  <c r="L51" i="21"/>
  <c r="K51" i="21"/>
  <c r="J51" i="21"/>
  <c r="I51" i="21"/>
  <c r="H51" i="21"/>
  <c r="G51" i="21"/>
  <c r="F51" i="21"/>
  <c r="E51" i="21"/>
  <c r="D51" i="21"/>
  <c r="V28" i="21"/>
  <c r="U28" i="21"/>
  <c r="T28" i="21"/>
  <c r="S28" i="21"/>
  <c r="R28" i="21"/>
  <c r="Q28" i="21"/>
  <c r="P28" i="21"/>
  <c r="O28" i="21"/>
  <c r="N28" i="21"/>
  <c r="M28" i="21"/>
  <c r="L28" i="21"/>
  <c r="K28" i="21"/>
  <c r="J28" i="21"/>
  <c r="I28" i="21"/>
  <c r="H28" i="21"/>
  <c r="G28" i="21"/>
  <c r="F28" i="21"/>
  <c r="E28" i="21"/>
  <c r="D28" i="21"/>
  <c r="V24" i="21"/>
  <c r="U24" i="21"/>
  <c r="T24" i="21"/>
  <c r="S24" i="21"/>
  <c r="R24" i="21"/>
  <c r="Q24" i="21"/>
  <c r="P24" i="21"/>
  <c r="O24" i="21"/>
  <c r="N24" i="21"/>
  <c r="M24" i="21"/>
  <c r="L24" i="21"/>
  <c r="K24" i="21"/>
  <c r="J24" i="21"/>
  <c r="I24" i="21"/>
  <c r="H24" i="21"/>
  <c r="G24" i="21"/>
  <c r="F24" i="21"/>
  <c r="E24" i="21"/>
  <c r="D24" i="21"/>
  <c r="V12" i="21"/>
  <c r="U12" i="21"/>
  <c r="T12" i="21"/>
  <c r="S12" i="21"/>
  <c r="R12" i="21"/>
  <c r="Q12" i="21"/>
  <c r="P12" i="21"/>
  <c r="O12" i="21"/>
  <c r="N12" i="21"/>
  <c r="M12" i="21"/>
  <c r="L12" i="21"/>
  <c r="K12" i="21"/>
  <c r="J12" i="21"/>
  <c r="I12" i="21"/>
  <c r="H12" i="21"/>
  <c r="G12" i="21"/>
  <c r="F12" i="21"/>
  <c r="E12" i="21"/>
  <c r="D12" i="21"/>
  <c r="V8" i="21"/>
  <c r="U8" i="21"/>
  <c r="T8" i="21"/>
  <c r="S8" i="21"/>
  <c r="R8" i="21"/>
  <c r="Q8" i="21"/>
  <c r="P8" i="21"/>
  <c r="O8" i="21"/>
  <c r="N8" i="21"/>
  <c r="M8" i="21"/>
  <c r="L8" i="21"/>
  <c r="K8" i="21"/>
  <c r="J8" i="21"/>
  <c r="I8" i="21"/>
  <c r="H8" i="21"/>
  <c r="G8" i="21"/>
  <c r="F8" i="21"/>
  <c r="E8" i="21"/>
  <c r="D8" i="21"/>
  <c r="V4" i="21"/>
  <c r="U4" i="21"/>
  <c r="T4" i="21"/>
  <c r="S4" i="21"/>
  <c r="R4" i="21"/>
  <c r="Q4" i="21"/>
  <c r="P4" i="21"/>
  <c r="O4" i="21"/>
  <c r="N4" i="21"/>
  <c r="M4" i="21"/>
  <c r="L4" i="21"/>
  <c r="K4" i="21"/>
  <c r="J4" i="21"/>
  <c r="I4" i="21"/>
  <c r="H4" i="21"/>
  <c r="G4" i="21"/>
  <c r="F4" i="21"/>
  <c r="E4" i="21"/>
  <c r="D4" i="21"/>
  <c r="Z34" i="5"/>
  <c r="Y34" i="5"/>
  <c r="X34" i="5"/>
  <c r="W34" i="5"/>
  <c r="V34" i="5"/>
  <c r="U34" i="5"/>
  <c r="T34" i="5"/>
  <c r="S34" i="5"/>
  <c r="R34" i="5"/>
  <c r="Q34" i="5"/>
  <c r="P34" i="5"/>
  <c r="O34" i="5"/>
  <c r="N34" i="5"/>
  <c r="M34" i="5"/>
  <c r="L34" i="5"/>
  <c r="K34" i="5"/>
  <c r="J34" i="5"/>
  <c r="I34" i="5"/>
  <c r="H34" i="5"/>
  <c r="Z33" i="5"/>
  <c r="Y33" i="5"/>
  <c r="X33" i="5"/>
  <c r="W33" i="5"/>
  <c r="V33" i="5"/>
  <c r="U33" i="5"/>
  <c r="T33" i="5"/>
  <c r="S33" i="5"/>
  <c r="R33" i="5"/>
  <c r="Q33" i="5"/>
  <c r="P33" i="5"/>
  <c r="O33" i="5"/>
  <c r="N33" i="5"/>
  <c r="M33" i="5"/>
  <c r="L33" i="5"/>
  <c r="K33" i="5"/>
  <c r="J33" i="5"/>
  <c r="I33" i="5"/>
  <c r="H33" i="5"/>
  <c r="Z32" i="5"/>
  <c r="Y32" i="5"/>
  <c r="X32" i="5"/>
  <c r="W32" i="5"/>
  <c r="V32" i="5"/>
  <c r="U32" i="5"/>
  <c r="T32" i="5"/>
  <c r="S32" i="5"/>
  <c r="R32" i="5"/>
  <c r="Q32" i="5"/>
  <c r="P32" i="5"/>
  <c r="O32" i="5"/>
  <c r="N32" i="5"/>
  <c r="M32" i="5"/>
  <c r="L32" i="5"/>
  <c r="K32" i="5"/>
  <c r="J32" i="5"/>
  <c r="I32" i="5"/>
  <c r="H32" i="5"/>
  <c r="Z31" i="5"/>
  <c r="Y31" i="5"/>
  <c r="X31" i="5"/>
  <c r="W31" i="5"/>
  <c r="V31" i="5"/>
  <c r="U31" i="5"/>
  <c r="T31" i="5"/>
  <c r="S31" i="5"/>
  <c r="R31" i="5"/>
  <c r="Q31" i="5"/>
  <c r="P31" i="5"/>
  <c r="O31" i="5"/>
  <c r="N31" i="5"/>
  <c r="M31" i="5"/>
  <c r="L31" i="5"/>
  <c r="K31" i="5"/>
  <c r="J31" i="5"/>
  <c r="I31" i="5"/>
  <c r="H31" i="5"/>
  <c r="Z30" i="5"/>
  <c r="Y30" i="5"/>
  <c r="X30" i="5"/>
  <c r="W30" i="5"/>
  <c r="V30" i="5"/>
  <c r="U30" i="5"/>
  <c r="T30" i="5"/>
  <c r="S30" i="5"/>
  <c r="R30" i="5"/>
  <c r="Q30" i="5"/>
  <c r="P30" i="5"/>
  <c r="O30" i="5"/>
  <c r="N30" i="5"/>
  <c r="M30" i="5"/>
  <c r="L30" i="5"/>
  <c r="K30" i="5"/>
  <c r="J30" i="5"/>
  <c r="I30" i="5"/>
  <c r="H30" i="5"/>
  <c r="Z17" i="5"/>
  <c r="Y17" i="5"/>
  <c r="X17" i="5"/>
  <c r="W17" i="5"/>
  <c r="V17" i="5"/>
  <c r="U17" i="5"/>
  <c r="T17" i="5"/>
  <c r="S17" i="5"/>
  <c r="R17" i="5"/>
  <c r="Q17" i="5"/>
  <c r="P17" i="5"/>
  <c r="O17" i="5"/>
  <c r="N17" i="5"/>
  <c r="M17" i="5"/>
  <c r="L17" i="5"/>
  <c r="K17" i="5"/>
  <c r="J17" i="5"/>
  <c r="I17" i="5"/>
  <c r="H17" i="5"/>
  <c r="Z16" i="5"/>
  <c r="Y16" i="5"/>
  <c r="X16" i="5"/>
  <c r="W16" i="5"/>
  <c r="V16" i="5"/>
  <c r="U16" i="5"/>
  <c r="T16" i="5"/>
  <c r="S16" i="5"/>
  <c r="R16" i="5"/>
  <c r="Q16" i="5"/>
  <c r="P16" i="5"/>
  <c r="O16" i="5"/>
  <c r="N16" i="5"/>
  <c r="M16" i="5"/>
  <c r="L16" i="5"/>
  <c r="K16" i="5"/>
  <c r="J16" i="5"/>
  <c r="I16" i="5"/>
  <c r="H16" i="5"/>
  <c r="Z15" i="5"/>
  <c r="Y15" i="5"/>
  <c r="X15" i="5"/>
  <c r="W15" i="5"/>
  <c r="V15" i="5"/>
  <c r="U15" i="5"/>
  <c r="T15" i="5"/>
  <c r="S15" i="5"/>
  <c r="R15" i="5"/>
  <c r="Q15" i="5"/>
  <c r="P15" i="5"/>
  <c r="O15" i="5"/>
  <c r="N15" i="5"/>
  <c r="M15" i="5"/>
  <c r="L15" i="5"/>
  <c r="K15" i="5"/>
  <c r="J15" i="5"/>
  <c r="I15" i="5"/>
  <c r="H15" i="5"/>
  <c r="Z14" i="5"/>
  <c r="Y14" i="5"/>
  <c r="X14" i="5"/>
  <c r="W14" i="5"/>
  <c r="V14" i="5"/>
  <c r="U14" i="5"/>
  <c r="T14" i="5"/>
  <c r="S14" i="5"/>
  <c r="R14" i="5"/>
  <c r="Q14" i="5"/>
  <c r="P14" i="5"/>
  <c r="O14" i="5"/>
  <c r="N14" i="5"/>
  <c r="M14" i="5"/>
  <c r="L14" i="5"/>
  <c r="K14" i="5"/>
  <c r="J14" i="5"/>
  <c r="I14" i="5"/>
  <c r="H14" i="5"/>
  <c r="Z13" i="5"/>
  <c r="Y13" i="5"/>
  <c r="X13" i="5"/>
  <c r="W13" i="5"/>
  <c r="V13" i="5"/>
  <c r="U13" i="5"/>
  <c r="T13" i="5"/>
  <c r="S13" i="5"/>
  <c r="R13" i="5"/>
  <c r="Q13" i="5"/>
  <c r="P13" i="5"/>
  <c r="O13" i="5"/>
  <c r="N13" i="5"/>
  <c r="M13" i="5"/>
  <c r="L13" i="5"/>
  <c r="K13" i="5"/>
  <c r="J13" i="5"/>
  <c r="I13" i="5"/>
  <c r="H13" i="5"/>
  <c r="Z12" i="5"/>
  <c r="Y12" i="5"/>
  <c r="X12" i="5"/>
  <c r="W12" i="5"/>
  <c r="V12" i="5"/>
  <c r="U12" i="5"/>
  <c r="T12" i="5"/>
  <c r="S12" i="5"/>
  <c r="R12" i="5"/>
  <c r="Q12" i="5"/>
  <c r="P12" i="5"/>
  <c r="O12" i="5"/>
  <c r="N12" i="5"/>
  <c r="M12" i="5"/>
  <c r="L12" i="5"/>
  <c r="K12" i="5"/>
  <c r="J12" i="5"/>
  <c r="I12" i="5"/>
  <c r="H12" i="5"/>
  <c r="Z11" i="5"/>
  <c r="Y11" i="5"/>
  <c r="X11" i="5"/>
  <c r="W11" i="5"/>
  <c r="V11" i="5"/>
  <c r="U11" i="5"/>
  <c r="T11" i="5"/>
  <c r="S11" i="5"/>
  <c r="R11" i="5"/>
  <c r="Q11" i="5"/>
  <c r="P11" i="5"/>
  <c r="O11" i="5"/>
  <c r="N11" i="5"/>
  <c r="M11" i="5"/>
  <c r="L11" i="5"/>
  <c r="K11" i="5"/>
  <c r="J11" i="5"/>
  <c r="I11" i="5"/>
  <c r="H11" i="5"/>
  <c r="Z10" i="5"/>
  <c r="Y10" i="5"/>
  <c r="X10" i="5"/>
  <c r="W10" i="5"/>
  <c r="V10" i="5"/>
  <c r="U10" i="5"/>
  <c r="T10" i="5"/>
  <c r="S10" i="5"/>
  <c r="R10" i="5"/>
  <c r="Q10" i="5"/>
  <c r="P10" i="5"/>
  <c r="O10" i="5"/>
  <c r="N10" i="5"/>
  <c r="M10" i="5"/>
  <c r="L10" i="5"/>
  <c r="K10" i="5"/>
  <c r="J10" i="5"/>
  <c r="I10" i="5"/>
  <c r="H10" i="5"/>
  <c r="Z9" i="5"/>
  <c r="Y9" i="5"/>
  <c r="X9" i="5"/>
  <c r="W9" i="5"/>
  <c r="V9" i="5"/>
  <c r="U9" i="5"/>
  <c r="T9" i="5"/>
  <c r="S9" i="5"/>
  <c r="R9" i="5"/>
  <c r="Q9" i="5"/>
  <c r="P9" i="5"/>
  <c r="O9" i="5"/>
  <c r="N9" i="5"/>
  <c r="M9" i="5"/>
  <c r="L9" i="5"/>
  <c r="K9" i="5"/>
  <c r="J9" i="5"/>
  <c r="I9" i="5"/>
  <c r="H9" i="5"/>
  <c r="Z8" i="5"/>
  <c r="Y8" i="5"/>
  <c r="X8" i="5"/>
  <c r="W8" i="5"/>
  <c r="V8" i="5"/>
  <c r="U8" i="5"/>
  <c r="T8" i="5"/>
  <c r="S8" i="5"/>
  <c r="R8" i="5"/>
  <c r="Q8" i="5"/>
  <c r="P8" i="5"/>
  <c r="O8" i="5"/>
  <c r="N8" i="5"/>
  <c r="M8" i="5"/>
  <c r="L8" i="5"/>
  <c r="K8" i="5"/>
  <c r="J8" i="5"/>
  <c r="I8" i="5"/>
  <c r="H8" i="5"/>
  <c r="Z7" i="5"/>
  <c r="Y7" i="5"/>
  <c r="X7" i="5"/>
  <c r="W7" i="5"/>
  <c r="V7" i="5"/>
  <c r="U7" i="5"/>
  <c r="T7" i="5"/>
  <c r="S7" i="5"/>
  <c r="R7" i="5"/>
  <c r="Q7" i="5"/>
  <c r="P7" i="5"/>
  <c r="O7" i="5"/>
  <c r="N7" i="5"/>
  <c r="M7" i="5"/>
  <c r="L7" i="5"/>
  <c r="K7" i="5"/>
  <c r="J7" i="5"/>
  <c r="I7" i="5"/>
  <c r="H7" i="5"/>
  <c r="Z6" i="5"/>
  <c r="Y6" i="5"/>
  <c r="X6" i="5"/>
  <c r="W6" i="5"/>
  <c r="V6" i="5"/>
  <c r="U6" i="5"/>
  <c r="T6" i="5"/>
  <c r="S6" i="5"/>
  <c r="R6" i="5"/>
  <c r="Q6" i="5"/>
  <c r="P6" i="5"/>
  <c r="O6" i="5"/>
  <c r="N6" i="5"/>
  <c r="M6" i="5"/>
  <c r="L6" i="5"/>
  <c r="K6" i="5"/>
  <c r="J6" i="5"/>
  <c r="I6" i="5"/>
  <c r="H6" i="5"/>
  <c r="Z5" i="5"/>
  <c r="Y5" i="5"/>
  <c r="X5" i="5"/>
  <c r="W5" i="5"/>
  <c r="V5" i="5"/>
  <c r="U5" i="5"/>
  <c r="T5" i="5"/>
  <c r="S5" i="5"/>
  <c r="R5" i="5"/>
  <c r="Q5" i="5"/>
  <c r="P5" i="5"/>
  <c r="O5" i="5"/>
  <c r="N5" i="5"/>
  <c r="M5" i="5"/>
  <c r="L5" i="5"/>
  <c r="K5" i="5"/>
  <c r="J5" i="5"/>
  <c r="I5" i="5"/>
  <c r="H5" i="5"/>
  <c r="Z4" i="5"/>
  <c r="Y4" i="5"/>
  <c r="X4" i="5"/>
  <c r="W4" i="5"/>
  <c r="V4" i="5"/>
  <c r="U4" i="5"/>
  <c r="T4" i="5"/>
  <c r="S4" i="5"/>
  <c r="R4" i="5"/>
  <c r="Q4" i="5"/>
  <c r="P4" i="5"/>
  <c r="O4" i="5"/>
  <c r="N4" i="5"/>
  <c r="M4" i="5"/>
  <c r="L4" i="5"/>
  <c r="K4" i="5"/>
  <c r="J4" i="5"/>
  <c r="I4" i="5"/>
  <c r="H4" i="5"/>
  <c r="Z3" i="5"/>
  <c r="Y3" i="5"/>
  <c r="X3" i="5"/>
  <c r="W3" i="5"/>
  <c r="V3" i="5"/>
  <c r="U3" i="5"/>
  <c r="T3" i="5"/>
  <c r="S3" i="5"/>
  <c r="R3" i="5"/>
  <c r="Q3" i="5"/>
  <c r="P3" i="5"/>
  <c r="O3" i="5"/>
  <c r="N3" i="5"/>
  <c r="M3" i="5"/>
  <c r="L3" i="5"/>
  <c r="K3" i="5"/>
  <c r="J3" i="5"/>
  <c r="I3" i="5"/>
  <c r="H3" i="5"/>
  <c r="Z2" i="5"/>
  <c r="Y2" i="5"/>
  <c r="X2" i="5"/>
  <c r="W2" i="5"/>
  <c r="V2" i="5"/>
  <c r="U2" i="5"/>
  <c r="T2" i="5"/>
  <c r="S2" i="5"/>
  <c r="R2" i="5"/>
  <c r="Q2" i="5"/>
  <c r="P2" i="5"/>
  <c r="O2" i="5"/>
  <c r="N2" i="5"/>
  <c r="M2" i="5"/>
  <c r="L2" i="5"/>
  <c r="K2" i="5"/>
  <c r="J2" i="5"/>
  <c r="I2" i="5"/>
  <c r="H2" i="5"/>
  <c r="BS12" i="63" l="1"/>
  <c r="BR12" i="63"/>
  <c r="BN12" i="63"/>
  <c r="BT12" i="63"/>
  <c r="BQ12" i="63"/>
  <c r="BK12" i="63"/>
  <c r="BJ12" i="63"/>
  <c r="BV12" i="63"/>
  <c r="BU12" i="63"/>
  <c r="BU9" i="63" s="1"/>
  <c r="BP12" i="63"/>
  <c r="BO12" i="63"/>
  <c r="BM12" i="63"/>
  <c r="BL12" i="63"/>
  <c r="BH12" i="63"/>
  <c r="BF12" i="63"/>
  <c r="BT15" i="63"/>
  <c r="BT21" i="63" s="1"/>
  <c r="BT24" i="63" s="1"/>
  <c r="BW12" i="63"/>
  <c r="BI12" i="63"/>
  <c r="BG12" i="63"/>
  <c r="S6" i="63"/>
  <c r="AI6" i="63"/>
  <c r="E6" i="63"/>
  <c r="D6" i="63"/>
  <c r="N3" i="63"/>
  <c r="K6" i="63"/>
  <c r="J6" i="63"/>
  <c r="C6" i="63"/>
  <c r="F6" i="63"/>
  <c r="G6" i="63"/>
  <c r="L6" i="63"/>
  <c r="BG9" i="63"/>
  <c r="BF15" i="63"/>
  <c r="BF21" i="63" s="1"/>
  <c r="BF24" i="63" s="1"/>
  <c r="M6" i="63"/>
  <c r="N6" i="63"/>
  <c r="O6" i="63"/>
  <c r="Q6" i="63"/>
  <c r="AF6" i="63"/>
  <c r="AD6" i="63"/>
  <c r="AC6" i="63"/>
  <c r="X6" i="63"/>
  <c r="AB6" i="63"/>
  <c r="AA6" i="63"/>
  <c r="AE6" i="63"/>
  <c r="Z6" i="63"/>
  <c r="Y6" i="63"/>
  <c r="W6" i="63"/>
  <c r="R6" i="63"/>
  <c r="AL6" i="63"/>
  <c r="AM6" i="63"/>
  <c r="D3" i="63"/>
  <c r="E3" i="63" s="1"/>
  <c r="AN6" i="63"/>
  <c r="AO6" i="63"/>
  <c r="AK6" i="63"/>
  <c r="AJ6" i="63"/>
  <c r="AH6" i="63"/>
  <c r="AH3" i="63" s="1"/>
  <c r="AI3" i="63" s="1"/>
  <c r="AJ3" i="63" s="1"/>
  <c r="AK3" i="63" s="1"/>
  <c r="AL3" i="63" s="1"/>
  <c r="AM3" i="63" s="1"/>
  <c r="AN3" i="63" s="1"/>
  <c r="AO3" i="63" s="1"/>
  <c r="AP3" i="63" s="1"/>
  <c r="AG6" i="63"/>
  <c r="H6" i="63"/>
  <c r="AS9" i="63"/>
  <c r="U6" i="63"/>
  <c r="T6" i="63"/>
  <c r="P6" i="63"/>
  <c r="X3" i="63"/>
  <c r="Y3" i="63" s="1"/>
  <c r="Z3" i="63" s="1"/>
  <c r="AA3" i="63" s="1"/>
  <c r="AB3" i="63" s="1"/>
  <c r="AC3" i="63" s="1"/>
  <c r="BJ3" i="63"/>
  <c r="BI3" i="63"/>
  <c r="BU3" i="63"/>
  <c r="BE3" i="63"/>
  <c r="BM3" i="63"/>
  <c r="BL3" i="63"/>
  <c r="BD3" i="63"/>
  <c r="BA3" i="63"/>
  <c r="T18" i="5"/>
  <c r="P90" i="57"/>
  <c r="P87" i="57"/>
  <c r="T20" i="5" s="1"/>
  <c r="P84" i="57"/>
  <c r="T19" i="5" s="1"/>
  <c r="V18" i="5"/>
  <c r="R90" i="57"/>
  <c r="R87" i="57"/>
  <c r="V20" i="5" s="1"/>
  <c r="R84" i="57"/>
  <c r="V19" i="5" s="1"/>
  <c r="W18" i="5"/>
  <c r="S90" i="57"/>
  <c r="S87" i="57"/>
  <c r="W20" i="5" s="1"/>
  <c r="S84" i="57"/>
  <c r="W19" i="5" s="1"/>
  <c r="Q90" i="57"/>
  <c r="Q87" i="57"/>
  <c r="U20" i="5" s="1"/>
  <c r="U18" i="5"/>
  <c r="Q84" i="57"/>
  <c r="U19" i="5" s="1"/>
  <c r="H18" i="5"/>
  <c r="D90" i="57"/>
  <c r="D87" i="57"/>
  <c r="H20" i="5" s="1"/>
  <c r="D84" i="57"/>
  <c r="H19" i="5" s="1"/>
  <c r="T90" i="57"/>
  <c r="T84" i="57"/>
  <c r="X19" i="5" s="1"/>
  <c r="X18" i="5"/>
  <c r="T87" i="57"/>
  <c r="X20" i="5" s="1"/>
  <c r="I18" i="5"/>
  <c r="E90" i="57"/>
  <c r="E87" i="57"/>
  <c r="I20" i="5" s="1"/>
  <c r="E84" i="57"/>
  <c r="I19" i="5" s="1"/>
  <c r="G90" i="57"/>
  <c r="G84" i="57"/>
  <c r="K19" i="5" s="1"/>
  <c r="K18" i="5"/>
  <c r="G87" i="57"/>
  <c r="K20" i="5" s="1"/>
  <c r="F90" i="57"/>
  <c r="F87" i="57"/>
  <c r="J20" i="5" s="1"/>
  <c r="J18" i="5"/>
  <c r="F84" i="57"/>
  <c r="J19" i="5" s="1"/>
  <c r="H87" i="57"/>
  <c r="L20" i="5" s="1"/>
  <c r="H84" i="57"/>
  <c r="L19" i="5" s="1"/>
  <c r="L18" i="5"/>
  <c r="I87" i="57"/>
  <c r="M20" i="5" s="1"/>
  <c r="I84" i="57"/>
  <c r="M19" i="5" s="1"/>
  <c r="M18" i="5"/>
  <c r="J87" i="57"/>
  <c r="N20" i="5" s="1"/>
  <c r="J84" i="57"/>
  <c r="N19" i="5" s="1"/>
  <c r="N18" i="5"/>
  <c r="K84" i="57"/>
  <c r="O19" i="5" s="1"/>
  <c r="O18" i="5"/>
  <c r="L84" i="57"/>
  <c r="P19" i="5" s="1"/>
  <c r="L90" i="57"/>
  <c r="P18" i="5"/>
  <c r="M84" i="57"/>
  <c r="Q19" i="5" s="1"/>
  <c r="M90" i="57"/>
  <c r="Q18" i="5"/>
  <c r="R21" i="5"/>
  <c r="O87" i="57"/>
  <c r="S20" i="5" s="1"/>
  <c r="O90" i="57"/>
  <c r="H90" i="57"/>
  <c r="I90" i="57"/>
  <c r="J90" i="57"/>
  <c r="K90" i="57"/>
  <c r="N84" i="57"/>
  <c r="R19" i="5" s="1"/>
  <c r="P22" i="61"/>
  <c r="Q22" i="61"/>
  <c r="C26" i="61"/>
  <c r="D22" i="61"/>
  <c r="E22" i="61"/>
  <c r="R30" i="59"/>
  <c r="R33" i="59" s="1"/>
  <c r="R79" i="59" s="1"/>
  <c r="R85" i="59" s="1"/>
  <c r="K30" i="59"/>
  <c r="K33" i="59" s="1"/>
  <c r="K79" i="59" s="1"/>
  <c r="K85" i="59" s="1"/>
  <c r="H30" i="59"/>
  <c r="H33" i="59" s="1"/>
  <c r="H79" i="59" s="1"/>
  <c r="H85" i="59" s="1"/>
  <c r="G30" i="59"/>
  <c r="G33" i="59" s="1"/>
  <c r="G79" i="59" s="1"/>
  <c r="G85" i="59" s="1"/>
  <c r="F30" i="59"/>
  <c r="F33" i="59" s="1"/>
  <c r="F79" i="59" s="1"/>
  <c r="F85" i="59" s="1"/>
  <c r="E30" i="59"/>
  <c r="E33" i="59" s="1"/>
  <c r="E79" i="59" s="1"/>
  <c r="E85" i="59" s="1"/>
  <c r="T30" i="59"/>
  <c r="T33" i="59" s="1"/>
  <c r="T79" i="59" s="1"/>
  <c r="T85" i="59" s="1"/>
  <c r="D30" i="59"/>
  <c r="D33" i="59" s="1"/>
  <c r="D79" i="59" s="1"/>
  <c r="D85" i="59" s="1"/>
  <c r="S30" i="59"/>
  <c r="S33" i="59" s="1"/>
  <c r="S79" i="59" s="1"/>
  <c r="S85" i="59" s="1"/>
  <c r="Q30" i="59"/>
  <c r="Q33" i="59" s="1"/>
  <c r="Q79" i="59" s="1"/>
  <c r="Q85" i="59" s="1"/>
  <c r="P30" i="59"/>
  <c r="P33" i="59" s="1"/>
  <c r="P79" i="59" s="1"/>
  <c r="P85" i="59" s="1"/>
  <c r="O30" i="59"/>
  <c r="O33" i="59" s="1"/>
  <c r="O79" i="59" s="1"/>
  <c r="O85" i="59" s="1"/>
  <c r="N30" i="59"/>
  <c r="N33" i="59" s="1"/>
  <c r="N79" i="59" s="1"/>
  <c r="N85" i="59" s="1"/>
  <c r="M30" i="59"/>
  <c r="M33" i="59" s="1"/>
  <c r="M79" i="59" s="1"/>
  <c r="M85" i="59" s="1"/>
  <c r="L30" i="59"/>
  <c r="L33" i="59" s="1"/>
  <c r="L79" i="59" s="1"/>
  <c r="L85" i="59" s="1"/>
  <c r="J30" i="59"/>
  <c r="J33" i="59" s="1"/>
  <c r="J79" i="59" s="1"/>
  <c r="J85" i="59" s="1"/>
  <c r="I30" i="59"/>
  <c r="I33" i="59" s="1"/>
  <c r="I79" i="59" s="1"/>
  <c r="I85" i="59" s="1"/>
  <c r="V30" i="59"/>
  <c r="V33" i="59" s="1"/>
  <c r="V79" i="59" s="1"/>
  <c r="V85" i="59" s="1"/>
  <c r="U30" i="59"/>
  <c r="U33" i="59" s="1"/>
  <c r="U79" i="59" s="1"/>
  <c r="U85" i="59" s="1"/>
  <c r="L22" i="59"/>
  <c r="M22" i="59"/>
  <c r="N22" i="59"/>
  <c r="O22" i="59"/>
  <c r="BU15" i="63" l="1"/>
  <c r="BU21" i="63" s="1"/>
  <c r="BU24" i="63" s="1"/>
  <c r="BV9" i="63"/>
  <c r="AD3" i="63"/>
  <c r="AE3" i="63" s="1"/>
  <c r="AF3" i="63" s="1"/>
  <c r="O3" i="63"/>
  <c r="P3" i="63" s="1"/>
  <c r="Q3" i="63" s="1"/>
  <c r="R3" i="63" s="1"/>
  <c r="S3" i="63" s="1"/>
  <c r="T3" i="63" s="1"/>
  <c r="U3" i="63" s="1"/>
  <c r="V3" i="63" s="1"/>
  <c r="AR9" i="63"/>
  <c r="AZ6" i="63"/>
  <c r="AV6" i="63"/>
  <c r="AX6" i="63"/>
  <c r="AW6" i="63"/>
  <c r="AQ6" i="63"/>
  <c r="AY6" i="63"/>
  <c r="AR6" i="63"/>
  <c r="AR3" i="63" s="1"/>
  <c r="AS3" i="63" s="1"/>
  <c r="AU6" i="63"/>
  <c r="AT6" i="63"/>
  <c r="AS6" i="63"/>
  <c r="D13" i="64"/>
  <c r="E13" i="64" s="1"/>
  <c r="F13" i="64" s="1"/>
  <c r="BA9" i="63" s="1"/>
  <c r="F3" i="63"/>
  <c r="G3" i="63" s="1"/>
  <c r="H3" i="63" s="1"/>
  <c r="I3" i="63" s="1"/>
  <c r="J3" i="63" s="1"/>
  <c r="K3" i="63" s="1"/>
  <c r="L3" i="63" s="1"/>
  <c r="BG15" i="63"/>
  <c r="BG21" i="63" s="1"/>
  <c r="BG24" i="63" s="1"/>
  <c r="BH9" i="63"/>
  <c r="O21" i="5"/>
  <c r="K21" i="5"/>
  <c r="M21" i="5"/>
  <c r="W21" i="5"/>
  <c r="S21" i="5"/>
  <c r="U21" i="5"/>
  <c r="N21" i="5"/>
  <c r="L21" i="5"/>
  <c r="I21" i="5"/>
  <c r="V21" i="5"/>
  <c r="X21" i="5"/>
  <c r="Q21" i="5"/>
  <c r="H21" i="5"/>
  <c r="T21" i="5"/>
  <c r="P21" i="5"/>
  <c r="J21" i="5"/>
  <c r="V30" i="61"/>
  <c r="V33" i="61" s="1"/>
  <c r="V77" i="61" s="1"/>
  <c r="V83" i="61" s="1"/>
  <c r="F30" i="61"/>
  <c r="F33" i="61" s="1"/>
  <c r="F77" i="61" s="1"/>
  <c r="F83" i="61" s="1"/>
  <c r="U30" i="61"/>
  <c r="U33" i="61" s="1"/>
  <c r="U77" i="61" s="1"/>
  <c r="U83" i="61" s="1"/>
  <c r="E30" i="61"/>
  <c r="E33" i="61" s="1"/>
  <c r="E77" i="61" s="1"/>
  <c r="E83" i="61" s="1"/>
  <c r="T30" i="61"/>
  <c r="T33" i="61" s="1"/>
  <c r="T77" i="61" s="1"/>
  <c r="T83" i="61" s="1"/>
  <c r="D30" i="61"/>
  <c r="D33" i="61" s="1"/>
  <c r="D77" i="61" s="1"/>
  <c r="D83" i="61" s="1"/>
  <c r="S30" i="61"/>
  <c r="S33" i="61" s="1"/>
  <c r="S77" i="61" s="1"/>
  <c r="S83" i="61" s="1"/>
  <c r="R30" i="61"/>
  <c r="R33" i="61" s="1"/>
  <c r="R77" i="61" s="1"/>
  <c r="R83" i="61" s="1"/>
  <c r="P30" i="61"/>
  <c r="P33" i="61" s="1"/>
  <c r="P77" i="61" s="1"/>
  <c r="P83" i="61" s="1"/>
  <c r="O30" i="61"/>
  <c r="O33" i="61" s="1"/>
  <c r="O77" i="61" s="1"/>
  <c r="O83" i="61" s="1"/>
  <c r="N30" i="61"/>
  <c r="N33" i="61" s="1"/>
  <c r="N77" i="61" s="1"/>
  <c r="N83" i="61" s="1"/>
  <c r="M30" i="61"/>
  <c r="M33" i="61" s="1"/>
  <c r="M77" i="61" s="1"/>
  <c r="M83" i="61" s="1"/>
  <c r="L30" i="61"/>
  <c r="L33" i="61" s="1"/>
  <c r="L77" i="61" s="1"/>
  <c r="L83" i="61" s="1"/>
  <c r="K30" i="61"/>
  <c r="K33" i="61" s="1"/>
  <c r="K77" i="61" s="1"/>
  <c r="K83" i="61" s="1"/>
  <c r="J30" i="61"/>
  <c r="J33" i="61" s="1"/>
  <c r="J77" i="61" s="1"/>
  <c r="J83" i="61" s="1"/>
  <c r="Q30" i="61"/>
  <c r="Q33" i="61" s="1"/>
  <c r="Q77" i="61" s="1"/>
  <c r="Q83" i="61" s="1"/>
  <c r="I30" i="61"/>
  <c r="I33" i="61" s="1"/>
  <c r="I77" i="61" s="1"/>
  <c r="I83" i="61" s="1"/>
  <c r="H30" i="61"/>
  <c r="H33" i="61" s="1"/>
  <c r="H77" i="61" s="1"/>
  <c r="H83" i="61" s="1"/>
  <c r="G30" i="61"/>
  <c r="G33" i="61" s="1"/>
  <c r="G77" i="61" s="1"/>
  <c r="G83" i="61" s="1"/>
  <c r="J96" i="59"/>
  <c r="J88" i="59"/>
  <c r="L96" i="59"/>
  <c r="L88" i="59"/>
  <c r="M96" i="59"/>
  <c r="M88" i="59"/>
  <c r="N88" i="59"/>
  <c r="N96" i="59"/>
  <c r="O88" i="59"/>
  <c r="O96" i="59"/>
  <c r="K88" i="59"/>
  <c r="K96" i="59"/>
  <c r="V88" i="59"/>
  <c r="V96" i="59"/>
  <c r="I88" i="59"/>
  <c r="I96" i="59"/>
  <c r="R96" i="59"/>
  <c r="R88" i="59"/>
  <c r="P88" i="59"/>
  <c r="P96" i="59"/>
  <c r="Q88" i="59"/>
  <c r="Q96" i="59"/>
  <c r="S96" i="59"/>
  <c r="S88" i="59"/>
  <c r="D88" i="59"/>
  <c r="H23" i="5" s="1"/>
  <c r="H22" i="5"/>
  <c r="D96" i="59"/>
  <c r="T88" i="59"/>
  <c r="T96" i="59"/>
  <c r="E88" i="59"/>
  <c r="E96" i="59"/>
  <c r="F96" i="59"/>
  <c r="F88" i="59"/>
  <c r="G96" i="59"/>
  <c r="G88" i="59"/>
  <c r="U96" i="59"/>
  <c r="U88" i="59"/>
  <c r="H88" i="59"/>
  <c r="H96" i="59"/>
  <c r="AQ9" i="63" l="1"/>
  <c r="AR15" i="63"/>
  <c r="AR21" i="63" s="1"/>
  <c r="AR24" i="63" s="1"/>
  <c r="AT3" i="63"/>
  <c r="AS15" i="63"/>
  <c r="AS21" i="63" s="1"/>
  <c r="AS24" i="63" s="1"/>
  <c r="BH15" i="63"/>
  <c r="BH21" i="63" s="1"/>
  <c r="BH24" i="63" s="1"/>
  <c r="BI9" i="63"/>
  <c r="AX12" i="63"/>
  <c r="AY12" i="63"/>
  <c r="AW12" i="63"/>
  <c r="AW9" i="63" s="1"/>
  <c r="BA15" i="63"/>
  <c r="BA21" i="63" s="1"/>
  <c r="BA24" i="63" s="1"/>
  <c r="AZ12" i="63"/>
  <c r="AV12" i="63"/>
  <c r="BC12" i="63"/>
  <c r="BB12" i="63"/>
  <c r="BB9" i="63" s="1"/>
  <c r="BD12" i="63"/>
  <c r="BE12" i="63"/>
  <c r="BA12" i="63"/>
  <c r="BV15" i="63"/>
  <c r="BV21" i="63" s="1"/>
  <c r="BV24" i="63" s="1"/>
  <c r="BW9" i="63"/>
  <c r="BW15" i="63" s="1"/>
  <c r="BW21" i="63" s="1"/>
  <c r="BW24" i="63" s="1"/>
  <c r="Q89" i="61"/>
  <c r="U28" i="5" s="1"/>
  <c r="Q86" i="61"/>
  <c r="U27" i="5" s="1"/>
  <c r="Q93" i="61"/>
  <c r="U29" i="5" s="1"/>
  <c r="U26" i="5"/>
  <c r="N26" i="5"/>
  <c r="J89" i="61"/>
  <c r="N28" i="5" s="1"/>
  <c r="J93" i="61"/>
  <c r="N29" i="5" s="1"/>
  <c r="J86" i="61"/>
  <c r="N27" i="5" s="1"/>
  <c r="O26" i="5"/>
  <c r="K89" i="61"/>
  <c r="O28" i="5" s="1"/>
  <c r="K93" i="61"/>
  <c r="O29" i="5" s="1"/>
  <c r="K86" i="61"/>
  <c r="O27" i="5" s="1"/>
  <c r="P26" i="5"/>
  <c r="L93" i="61"/>
  <c r="P29" i="5" s="1"/>
  <c r="L89" i="61"/>
  <c r="P28" i="5" s="1"/>
  <c r="L86" i="61"/>
  <c r="P27" i="5" s="1"/>
  <c r="M89" i="61"/>
  <c r="Q28" i="5" s="1"/>
  <c r="Q26" i="5"/>
  <c r="M93" i="61"/>
  <c r="Q29" i="5" s="1"/>
  <c r="M86" i="61"/>
  <c r="Q27" i="5" s="1"/>
  <c r="N89" i="61"/>
  <c r="R28" i="5" s="1"/>
  <c r="N93" i="61"/>
  <c r="R29" i="5" s="1"/>
  <c r="R26" i="5"/>
  <c r="N86" i="61"/>
  <c r="R27" i="5" s="1"/>
  <c r="O89" i="61"/>
  <c r="S28" i="5" s="1"/>
  <c r="O93" i="61"/>
  <c r="S29" i="5" s="1"/>
  <c r="S26" i="5"/>
  <c r="O86" i="61"/>
  <c r="S27" i="5" s="1"/>
  <c r="P89" i="61"/>
  <c r="T28" i="5" s="1"/>
  <c r="P86" i="61"/>
  <c r="T27" i="5" s="1"/>
  <c r="P93" i="61"/>
  <c r="T29" i="5" s="1"/>
  <c r="T26" i="5"/>
  <c r="R86" i="61"/>
  <c r="V27" i="5" s="1"/>
  <c r="V26" i="5"/>
  <c r="R93" i="61"/>
  <c r="V29" i="5" s="1"/>
  <c r="R89" i="61"/>
  <c r="V28" i="5" s="1"/>
  <c r="S86" i="61"/>
  <c r="W27" i="5" s="1"/>
  <c r="S93" i="61"/>
  <c r="W29" i="5" s="1"/>
  <c r="S89" i="61"/>
  <c r="W28" i="5" s="1"/>
  <c r="W26" i="5"/>
  <c r="D86" i="61"/>
  <c r="H27" i="5" s="1"/>
  <c r="D93" i="61"/>
  <c r="H29" i="5" s="1"/>
  <c r="H26" i="5"/>
  <c r="D89" i="61"/>
  <c r="H28" i="5" s="1"/>
  <c r="T86" i="61"/>
  <c r="X27" i="5" s="1"/>
  <c r="T93" i="61"/>
  <c r="X29" i="5" s="1"/>
  <c r="T89" i="61"/>
  <c r="X28" i="5" s="1"/>
  <c r="X26" i="5"/>
  <c r="E93" i="61"/>
  <c r="I29" i="5" s="1"/>
  <c r="I26" i="5"/>
  <c r="E86" i="61"/>
  <c r="I27" i="5" s="1"/>
  <c r="E89" i="61"/>
  <c r="I28" i="5" s="1"/>
  <c r="G93" i="61"/>
  <c r="K29" i="5" s="1"/>
  <c r="G86" i="61"/>
  <c r="K27" i="5" s="1"/>
  <c r="G89" i="61"/>
  <c r="K28" i="5" s="1"/>
  <c r="K26" i="5"/>
  <c r="U93" i="61"/>
  <c r="Y29" i="5" s="1"/>
  <c r="U89" i="61"/>
  <c r="Y28" i="5" s="1"/>
  <c r="Y26" i="5"/>
  <c r="U86" i="61"/>
  <c r="Y27" i="5" s="1"/>
  <c r="L26" i="5"/>
  <c r="H93" i="61"/>
  <c r="L29" i="5" s="1"/>
  <c r="H86" i="61"/>
  <c r="L27" i="5" s="1"/>
  <c r="H89" i="61"/>
  <c r="L28" i="5" s="1"/>
  <c r="F93" i="61"/>
  <c r="J29" i="5" s="1"/>
  <c r="F86" i="61"/>
  <c r="J27" i="5" s="1"/>
  <c r="J26" i="5"/>
  <c r="F89" i="61"/>
  <c r="J28" i="5" s="1"/>
  <c r="M26" i="5"/>
  <c r="I86" i="61"/>
  <c r="M27" i="5" s="1"/>
  <c r="I89" i="61"/>
  <c r="M28" i="5" s="1"/>
  <c r="I93" i="61"/>
  <c r="M29" i="5" s="1"/>
  <c r="V93" i="61"/>
  <c r="Z29" i="5" s="1"/>
  <c r="V89" i="61"/>
  <c r="Z28" i="5" s="1"/>
  <c r="V86" i="61"/>
  <c r="Z27" i="5" s="1"/>
  <c r="Z26" i="5"/>
  <c r="BC9" i="63" l="1"/>
  <c r="BB15" i="63"/>
  <c r="BB21" i="63" s="1"/>
  <c r="BB24" i="63" s="1"/>
  <c r="AX9" i="63"/>
  <c r="BI15" i="63"/>
  <c r="BI21" i="63" s="1"/>
  <c r="BI24" i="63" s="1"/>
  <c r="BJ9" i="63"/>
  <c r="AU3" i="63"/>
  <c r="AT15" i="63"/>
  <c r="AT21" i="63" s="1"/>
  <c r="AT24" i="63" s="1"/>
  <c r="AP9" i="63"/>
  <c r="AQ15" i="63"/>
  <c r="AQ21" i="63" s="1"/>
  <c r="AQ24" i="63" s="1"/>
  <c r="AY9" i="63" l="1"/>
  <c r="AO9" i="63"/>
  <c r="AP15" i="63"/>
  <c r="AP21" i="63" s="1"/>
  <c r="AP24" i="63" s="1"/>
  <c r="AV3" i="63"/>
  <c r="AU15" i="63"/>
  <c r="AU21" i="63" s="1"/>
  <c r="AU24" i="63" s="1"/>
  <c r="BJ15" i="63"/>
  <c r="BJ21" i="63" s="1"/>
  <c r="BJ24" i="63" s="1"/>
  <c r="BK9" i="63"/>
  <c r="BC15" i="63"/>
  <c r="BC21" i="63" s="1"/>
  <c r="BC24" i="63" s="1"/>
  <c r="BD9" i="63"/>
  <c r="AO15" i="63" l="1"/>
  <c r="AO21" i="63" s="1"/>
  <c r="AO24" i="63" s="1"/>
  <c r="AN9" i="63"/>
  <c r="AZ9" i="63"/>
  <c r="BD15" i="63"/>
  <c r="BD21" i="63" s="1"/>
  <c r="BD24" i="63" s="1"/>
  <c r="BE9" i="63"/>
  <c r="BE15" i="63" s="1"/>
  <c r="BE21" i="63" s="1"/>
  <c r="BE24" i="63" s="1"/>
  <c r="BK15" i="63"/>
  <c r="BK21" i="63" s="1"/>
  <c r="BK24" i="63" s="1"/>
  <c r="BL9" i="63"/>
  <c r="AW3" i="63"/>
  <c r="AV15" i="63"/>
  <c r="AV21" i="63" s="1"/>
  <c r="AV24" i="63" s="1"/>
  <c r="BM9" i="63" l="1"/>
  <c r="BL15" i="63"/>
  <c r="BL21" i="63" s="1"/>
  <c r="BL24" i="63" s="1"/>
  <c r="AX3" i="63"/>
  <c r="AW15" i="63"/>
  <c r="AW21" i="63" s="1"/>
  <c r="AW24" i="63" s="1"/>
  <c r="AM9" i="63"/>
  <c r="AN15" i="63"/>
  <c r="AN21" i="63" s="1"/>
  <c r="AN24" i="63" s="1"/>
  <c r="AL9" i="63" l="1"/>
  <c r="AM15" i="63"/>
  <c r="AM21" i="63" s="1"/>
  <c r="AM24" i="63" s="1"/>
  <c r="AY3" i="63"/>
  <c r="AX15" i="63"/>
  <c r="AX21" i="63" s="1"/>
  <c r="AX24" i="63" s="1"/>
  <c r="BN9" i="63"/>
  <c r="BM15" i="63"/>
  <c r="BM21" i="63" s="1"/>
  <c r="BM24" i="63" s="1"/>
  <c r="BO9" i="63" l="1"/>
  <c r="BN15" i="63"/>
  <c r="BN21" i="63" s="1"/>
  <c r="BN24" i="63" s="1"/>
  <c r="AZ3" i="63"/>
  <c r="AZ15" i="63" s="1"/>
  <c r="AZ21" i="63" s="1"/>
  <c r="AZ24" i="63" s="1"/>
  <c r="AY15" i="63"/>
  <c r="AY21" i="63" s="1"/>
  <c r="AY24" i="63" s="1"/>
  <c r="AK9" i="63"/>
  <c r="AL15" i="63"/>
  <c r="AL21" i="63" s="1"/>
  <c r="AL24" i="63" s="1"/>
  <c r="AK15" i="63" l="1"/>
  <c r="AK21" i="63" s="1"/>
  <c r="AK24" i="63" s="1"/>
  <c r="AJ9" i="63"/>
  <c r="BP9" i="63"/>
  <c r="BO15" i="63"/>
  <c r="BO21" i="63" s="1"/>
  <c r="BO24" i="63" s="1"/>
  <c r="BP15" i="63" l="1"/>
  <c r="BP21" i="63" s="1"/>
  <c r="BP24" i="63" s="1"/>
  <c r="BQ9" i="63"/>
  <c r="AI9" i="63"/>
  <c r="AJ15" i="63"/>
  <c r="AJ21" i="63" s="1"/>
  <c r="AJ24" i="63" s="1"/>
  <c r="AH9" i="63" l="1"/>
  <c r="AI15" i="63"/>
  <c r="AI21" i="63" s="1"/>
  <c r="AI24" i="63" s="1"/>
  <c r="BQ15" i="63"/>
  <c r="BQ21" i="63" s="1"/>
  <c r="BQ24" i="63" s="1"/>
  <c r="BR9" i="63"/>
  <c r="BS9" i="63" l="1"/>
  <c r="BS15" i="63" s="1"/>
  <c r="BS21" i="63" s="1"/>
  <c r="BS24" i="63" s="1"/>
  <c r="BR15" i="63"/>
  <c r="BR21" i="63" s="1"/>
  <c r="BR24" i="63" s="1"/>
  <c r="AH15" i="63"/>
  <c r="AH21" i="63" s="1"/>
  <c r="AH24" i="63" s="1"/>
  <c r="AG9" i="63"/>
  <c r="AF9" i="63" l="1"/>
  <c r="AG15" i="63"/>
  <c r="AG21" i="63" s="1"/>
  <c r="AG24" i="63" s="1"/>
  <c r="AE9" i="63" l="1"/>
  <c r="AF15" i="63"/>
  <c r="AF21" i="63" s="1"/>
  <c r="AF24" i="63" s="1"/>
  <c r="AD9" i="63" l="1"/>
  <c r="AE15" i="63"/>
  <c r="AE21" i="63" s="1"/>
  <c r="AE24" i="63" s="1"/>
  <c r="AD15" i="63" l="1"/>
  <c r="AD21" i="63" s="1"/>
  <c r="AD24" i="63" s="1"/>
  <c r="AC9" i="63"/>
  <c r="AC15" i="63" l="1"/>
  <c r="AC21" i="63" s="1"/>
  <c r="AC24" i="63" s="1"/>
  <c r="AB9" i="63"/>
  <c r="AB15" i="63" l="1"/>
  <c r="AB21" i="63" s="1"/>
  <c r="AB24" i="63" s="1"/>
  <c r="AA9" i="63"/>
  <c r="AA15" i="63" l="1"/>
  <c r="AA21" i="63" s="1"/>
  <c r="AA24" i="63" s="1"/>
  <c r="Z9" i="63"/>
  <c r="Z15" i="63" l="1"/>
  <c r="Z21" i="63" s="1"/>
  <c r="Z24" i="63" s="1"/>
  <c r="Y9" i="63"/>
  <c r="Y15" i="63" l="1"/>
  <c r="Y21" i="63" s="1"/>
  <c r="Y24" i="63" s="1"/>
  <c r="X9" i="63"/>
  <c r="X15" i="63" l="1"/>
  <c r="X21" i="63" s="1"/>
  <c r="X24" i="63" s="1"/>
  <c r="W9" i="63"/>
  <c r="W15" i="63" l="1"/>
  <c r="W21" i="63" s="1"/>
  <c r="W24" i="63" s="1"/>
  <c r="V9" i="63"/>
  <c r="U9" i="63" l="1"/>
  <c r="V15" i="63"/>
  <c r="V21" i="63" s="1"/>
  <c r="V24" i="63" s="1"/>
  <c r="T9" i="63" l="1"/>
  <c r="U15" i="63"/>
  <c r="U21" i="63" s="1"/>
  <c r="U24" i="63" s="1"/>
  <c r="S9" i="63" l="1"/>
  <c r="T15" i="63"/>
  <c r="T21" i="63" s="1"/>
  <c r="T24" i="63" s="1"/>
  <c r="R9" i="63" l="1"/>
  <c r="S15" i="63"/>
  <c r="S21" i="63" s="1"/>
  <c r="S24" i="63" s="1"/>
  <c r="R15" i="63" l="1"/>
  <c r="R21" i="63" s="1"/>
  <c r="R24" i="63" s="1"/>
  <c r="Q9" i="63"/>
  <c r="Q15" i="63" l="1"/>
  <c r="Q21" i="63" s="1"/>
  <c r="Q24" i="63" s="1"/>
  <c r="P9" i="63"/>
  <c r="O9" i="63" l="1"/>
  <c r="P15" i="63"/>
  <c r="P21" i="63" s="1"/>
  <c r="P24" i="63" s="1"/>
  <c r="N9" i="63" l="1"/>
  <c r="O15" i="63"/>
  <c r="O21" i="63" s="1"/>
  <c r="O24" i="63" s="1"/>
  <c r="N15" i="63" l="1"/>
  <c r="N21" i="63" s="1"/>
  <c r="N24" i="63" s="1"/>
  <c r="M9" i="63"/>
  <c r="M15" i="63" l="1"/>
  <c r="M21" i="63" s="1"/>
  <c r="M24" i="63" s="1"/>
  <c r="L9" i="63"/>
  <c r="K9" i="63" l="1"/>
  <c r="L15" i="63"/>
  <c r="L21" i="63" s="1"/>
  <c r="L24" i="63" s="1"/>
  <c r="J9" i="63" l="1"/>
  <c r="K15" i="63"/>
  <c r="K21" i="63" s="1"/>
  <c r="K24" i="63" s="1"/>
  <c r="J15" i="63" l="1"/>
  <c r="J21" i="63" s="1"/>
  <c r="J24" i="63" s="1"/>
  <c r="I9" i="63"/>
  <c r="I15" i="63" l="1"/>
  <c r="I21" i="63" s="1"/>
  <c r="I24" i="63" s="1"/>
  <c r="H9" i="63"/>
  <c r="H15" i="63" l="1"/>
  <c r="H21" i="63" s="1"/>
  <c r="H24" i="63" s="1"/>
  <c r="G9" i="63"/>
  <c r="F9" i="63" l="1"/>
  <c r="G15" i="63"/>
  <c r="G21" i="63" s="1"/>
  <c r="G24" i="63" s="1"/>
  <c r="F15" i="63" l="1"/>
  <c r="F21" i="63" s="1"/>
  <c r="F24" i="63" s="1"/>
  <c r="F27" i="63" s="1"/>
  <c r="G30" i="63" s="1"/>
  <c r="G33" i="63" s="1"/>
  <c r="G52" i="63" s="1"/>
  <c r="E9" i="63"/>
  <c r="E15" i="63" l="1"/>
  <c r="E21" i="63" s="1"/>
  <c r="D9" i="63"/>
  <c r="G62" i="63"/>
  <c r="G67" i="63"/>
  <c r="G57" i="63"/>
  <c r="G27" i="63"/>
  <c r="H30" i="63" l="1"/>
  <c r="H33" i="63" s="1"/>
  <c r="H52" i="63" s="1"/>
  <c r="H27" i="63"/>
  <c r="C9" i="63"/>
  <c r="C15" i="63" s="1"/>
  <c r="C21" i="63" s="1"/>
  <c r="D15" i="63"/>
  <c r="D21" i="63" s="1"/>
  <c r="I30" i="63" l="1"/>
  <c r="I33" i="63" s="1"/>
  <c r="I52" i="63" s="1"/>
  <c r="I27" i="63"/>
  <c r="H67" i="63"/>
  <c r="H57" i="63"/>
  <c r="H62" i="63" s="1"/>
  <c r="J30" i="63" l="1"/>
  <c r="J33" i="63" s="1"/>
  <c r="J52" i="63" s="1"/>
  <c r="J27" i="63"/>
  <c r="I67" i="63"/>
  <c r="I57" i="63"/>
  <c r="I62" i="63" s="1"/>
  <c r="K30" i="63" l="1"/>
  <c r="K33" i="63" s="1"/>
  <c r="K52" i="63" s="1"/>
  <c r="K27" i="63"/>
  <c r="J67" i="63"/>
  <c r="J57" i="63"/>
  <c r="J62" i="63" s="1"/>
  <c r="L30" i="63" l="1"/>
  <c r="L33" i="63" s="1"/>
  <c r="L52" i="63" s="1"/>
  <c r="L27" i="63"/>
  <c r="K57" i="63"/>
  <c r="K62" i="63" s="1"/>
  <c r="K67" i="63"/>
  <c r="M30" i="63" l="1"/>
  <c r="M33" i="63" s="1"/>
  <c r="M52" i="63" s="1"/>
  <c r="M27" i="63"/>
  <c r="L57" i="63"/>
  <c r="L62" i="63" s="1"/>
  <c r="L67" i="63"/>
  <c r="N30" i="63" l="1"/>
  <c r="N33" i="63" s="1"/>
  <c r="N52" i="63" s="1"/>
  <c r="N27" i="63"/>
  <c r="M57" i="63"/>
  <c r="M62" i="63" s="1"/>
  <c r="M67" i="63"/>
  <c r="O30" i="63" l="1"/>
  <c r="O33" i="63" s="1"/>
  <c r="O52" i="63" s="1"/>
  <c r="O27" i="63"/>
  <c r="N57" i="63"/>
  <c r="N62" i="63" s="1"/>
  <c r="N67" i="63"/>
  <c r="P30" i="63" l="1"/>
  <c r="P33" i="63" s="1"/>
  <c r="P52" i="63" s="1"/>
  <c r="P27" i="63"/>
  <c r="O57" i="63"/>
  <c r="O62" i="63" s="1"/>
  <c r="O67" i="63"/>
  <c r="Q30" i="63" l="1"/>
  <c r="Q33" i="63" s="1"/>
  <c r="Q52" i="63" s="1"/>
  <c r="Q27" i="63"/>
  <c r="P57" i="63"/>
  <c r="P62" i="63" s="1"/>
  <c r="P67" i="63"/>
  <c r="R30" i="63" l="1"/>
  <c r="R33" i="63" s="1"/>
  <c r="R52" i="63" s="1"/>
  <c r="R27" i="63"/>
  <c r="Q67" i="63"/>
  <c r="Q57" i="63"/>
  <c r="Q62" i="63" s="1"/>
  <c r="S30" i="63" l="1"/>
  <c r="S33" i="63" s="1"/>
  <c r="S52" i="63" s="1"/>
  <c r="S27" i="63"/>
  <c r="R67" i="63"/>
  <c r="R57" i="63"/>
  <c r="R62" i="63" s="1"/>
  <c r="T30" i="63" l="1"/>
  <c r="T33" i="63" s="1"/>
  <c r="T52" i="63" s="1"/>
  <c r="T27" i="63"/>
  <c r="S67" i="63"/>
  <c r="S57" i="63"/>
  <c r="S62" i="63" s="1"/>
  <c r="U30" i="63" l="1"/>
  <c r="U33" i="63" s="1"/>
  <c r="U52" i="63" s="1"/>
  <c r="U27" i="63"/>
  <c r="T67" i="63"/>
  <c r="T57" i="63"/>
  <c r="T62" i="63" s="1"/>
  <c r="V30" i="63" l="1"/>
  <c r="V33" i="63" s="1"/>
  <c r="V52" i="63" s="1"/>
  <c r="V27" i="63"/>
  <c r="U67" i="63"/>
  <c r="U57" i="63"/>
  <c r="U62" i="63" s="1"/>
  <c r="W30" i="63" l="1"/>
  <c r="W33" i="63" s="1"/>
  <c r="W52" i="63" s="1"/>
  <c r="W27" i="63"/>
  <c r="V67" i="63"/>
  <c r="V57" i="63"/>
  <c r="V62" i="63" s="1"/>
  <c r="X30" i="63" l="1"/>
  <c r="X33" i="63" s="1"/>
  <c r="X52" i="63" s="1"/>
  <c r="X27" i="63"/>
  <c r="W67" i="63"/>
  <c r="W57" i="63"/>
  <c r="W62" i="63" s="1"/>
  <c r="Y30" i="63" l="1"/>
  <c r="Y33" i="63" s="1"/>
  <c r="Y52" i="63" s="1"/>
  <c r="Y27" i="63"/>
  <c r="X67" i="63"/>
  <c r="X57" i="63"/>
  <c r="X62" i="63" s="1"/>
  <c r="Z30" i="63" l="1"/>
  <c r="Z33" i="63" s="1"/>
  <c r="Z52" i="63" s="1"/>
  <c r="Z27" i="63"/>
  <c r="Y67" i="63"/>
  <c r="Y57" i="63"/>
  <c r="Y62" i="63" s="1"/>
  <c r="AA30" i="63" l="1"/>
  <c r="AA33" i="63" s="1"/>
  <c r="AA52" i="63" s="1"/>
  <c r="AA27" i="63"/>
  <c r="Z67" i="63"/>
  <c r="Z57" i="63"/>
  <c r="Z62" i="63" s="1"/>
  <c r="AB30" i="63" l="1"/>
  <c r="AB33" i="63" s="1"/>
  <c r="AB52" i="63" s="1"/>
  <c r="AB27" i="63"/>
  <c r="AA57" i="63"/>
  <c r="AA62" i="63" s="1"/>
  <c r="AA67" i="63"/>
  <c r="AC30" i="63" l="1"/>
  <c r="AC33" i="63" s="1"/>
  <c r="AC52" i="63" s="1"/>
  <c r="AC27" i="63"/>
  <c r="AB57" i="63"/>
  <c r="AB62" i="63" s="1"/>
  <c r="AB67" i="63"/>
  <c r="AD30" i="63" l="1"/>
  <c r="AD33" i="63" s="1"/>
  <c r="AD52" i="63" s="1"/>
  <c r="AD27" i="63"/>
  <c r="AC57" i="63"/>
  <c r="AC62" i="63" s="1"/>
  <c r="AC67" i="63"/>
  <c r="AE30" i="63" l="1"/>
  <c r="AE33" i="63" s="1"/>
  <c r="AE52" i="63" s="1"/>
  <c r="AE27" i="63"/>
  <c r="AD57" i="63"/>
  <c r="AD62" i="63" s="1"/>
  <c r="AD67" i="63"/>
  <c r="AF30" i="63" l="1"/>
  <c r="AF33" i="63" s="1"/>
  <c r="AF52" i="63" s="1"/>
  <c r="AF27" i="63"/>
  <c r="AE57" i="63"/>
  <c r="AE62" i="63" s="1"/>
  <c r="AE67" i="63"/>
  <c r="AG30" i="63" l="1"/>
  <c r="AG33" i="63" s="1"/>
  <c r="AG52" i="63" s="1"/>
  <c r="AG27" i="63"/>
  <c r="AF57" i="63"/>
  <c r="AF62" i="63" s="1"/>
  <c r="AF67" i="63"/>
  <c r="AH30" i="63" l="1"/>
  <c r="AH33" i="63" s="1"/>
  <c r="AH52" i="63" s="1"/>
  <c r="AH27" i="63"/>
  <c r="AG67" i="63"/>
  <c r="AG57" i="63"/>
  <c r="AG62" i="63" s="1"/>
  <c r="AI30" i="63" l="1"/>
  <c r="AI33" i="63" s="1"/>
  <c r="AI52" i="63" s="1"/>
  <c r="AI27" i="63"/>
  <c r="AH67" i="63"/>
  <c r="AH57" i="63"/>
  <c r="AH62" i="63" s="1"/>
  <c r="AJ30" i="63" l="1"/>
  <c r="AJ33" i="63" s="1"/>
  <c r="AJ52" i="63" s="1"/>
  <c r="AJ27" i="63"/>
  <c r="AI57" i="63"/>
  <c r="AI62" i="63" s="1"/>
  <c r="AI67" i="63"/>
  <c r="AK30" i="63" l="1"/>
  <c r="AK33" i="63" s="1"/>
  <c r="AK52" i="63" s="1"/>
  <c r="AK27" i="63"/>
  <c r="AJ67" i="63"/>
  <c r="AJ57" i="63"/>
  <c r="AJ62" i="63" s="1"/>
  <c r="AL30" i="63" l="1"/>
  <c r="AL33" i="63" s="1"/>
  <c r="AL52" i="63" s="1"/>
  <c r="AL27" i="63"/>
  <c r="AK67" i="63"/>
  <c r="AK57" i="63"/>
  <c r="AK62" i="63" s="1"/>
  <c r="AM30" i="63" l="1"/>
  <c r="AM33" i="63" s="1"/>
  <c r="AM52" i="63" s="1"/>
  <c r="AM27" i="63"/>
  <c r="AL67" i="63"/>
  <c r="AL57" i="63"/>
  <c r="AL62" i="63" s="1"/>
  <c r="AN30" i="63" l="1"/>
  <c r="AN33" i="63" s="1"/>
  <c r="AN52" i="63" s="1"/>
  <c r="AN27" i="63"/>
  <c r="AM67" i="63"/>
  <c r="AM57" i="63"/>
  <c r="AM62" i="63" s="1"/>
  <c r="AO30" i="63" l="1"/>
  <c r="AO33" i="63" s="1"/>
  <c r="AO52" i="63" s="1"/>
  <c r="AO27" i="63"/>
  <c r="AN67" i="63"/>
  <c r="AN57" i="63"/>
  <c r="AN62" i="63" s="1"/>
  <c r="AP30" i="63" l="1"/>
  <c r="AP33" i="63" s="1"/>
  <c r="AP52" i="63" s="1"/>
  <c r="AP27" i="63"/>
  <c r="AO67" i="63"/>
  <c r="AO57" i="63"/>
  <c r="AO62" i="63" s="1"/>
  <c r="AQ30" i="63" l="1"/>
  <c r="AQ33" i="63" s="1"/>
  <c r="AQ52" i="63" s="1"/>
  <c r="AQ27" i="63"/>
  <c r="AP67" i="63"/>
  <c r="AP57" i="63"/>
  <c r="AP62" i="63" s="1"/>
  <c r="AR30" i="63" l="1"/>
  <c r="AR33" i="63" s="1"/>
  <c r="AR52" i="63" s="1"/>
  <c r="AR27" i="63"/>
  <c r="AQ57" i="63"/>
  <c r="AQ62" i="63" s="1"/>
  <c r="AQ67" i="63"/>
  <c r="AR57" i="63" l="1"/>
  <c r="AR62" i="63" s="1"/>
  <c r="AR67" i="63"/>
  <c r="AS30" i="63"/>
  <c r="AS33" i="63" s="1"/>
  <c r="AS52" i="63" s="1"/>
  <c r="AS27" i="63"/>
  <c r="AT30" i="63" l="1"/>
  <c r="AT33" i="63" s="1"/>
  <c r="AT52" i="63" s="1"/>
  <c r="AT27" i="63"/>
  <c r="AS67" i="63"/>
  <c r="AS57" i="63"/>
  <c r="AS62" i="63" s="1"/>
  <c r="AU30" i="63" l="1"/>
  <c r="AU33" i="63" s="1"/>
  <c r="AU52" i="63" s="1"/>
  <c r="AU27" i="63"/>
  <c r="AT57" i="63"/>
  <c r="AT62" i="63" s="1"/>
  <c r="AT67" i="63"/>
  <c r="AV30" i="63" l="1"/>
  <c r="AV33" i="63" s="1"/>
  <c r="AV52" i="63" s="1"/>
  <c r="AV27" i="63"/>
  <c r="AU57" i="63"/>
  <c r="AU62" i="63" s="1"/>
  <c r="AU67" i="63"/>
  <c r="AW30" i="63" l="1"/>
  <c r="AW33" i="63" s="1"/>
  <c r="AW52" i="63" s="1"/>
  <c r="AW27" i="63"/>
  <c r="AV57" i="63"/>
  <c r="AV62" i="63" s="1"/>
  <c r="AV67" i="63"/>
  <c r="AX30" i="63" l="1"/>
  <c r="AX33" i="63" s="1"/>
  <c r="AX52" i="63" s="1"/>
  <c r="AX27" i="63"/>
  <c r="AW67" i="63"/>
  <c r="AW57" i="63"/>
  <c r="AW62" i="63" s="1"/>
  <c r="AY30" i="63" l="1"/>
  <c r="AY33" i="63" s="1"/>
  <c r="AY52" i="63" s="1"/>
  <c r="AY27" i="63"/>
  <c r="AX57" i="63"/>
  <c r="AX62" i="63" s="1"/>
  <c r="AX67" i="63"/>
  <c r="AZ30" i="63" l="1"/>
  <c r="AZ33" i="63" s="1"/>
  <c r="AZ52" i="63" s="1"/>
  <c r="AZ27" i="63"/>
  <c r="AY67" i="63"/>
  <c r="AY57" i="63"/>
  <c r="AY62" i="63" s="1"/>
  <c r="BA30" i="63" l="1"/>
  <c r="BA33" i="63" s="1"/>
  <c r="BA52" i="63" s="1"/>
  <c r="BA27" i="63"/>
  <c r="AZ67" i="63"/>
  <c r="AZ57" i="63"/>
  <c r="AZ62" i="63" s="1"/>
  <c r="BB30" i="63" l="1"/>
  <c r="BB33" i="63" s="1"/>
  <c r="BB52" i="63" s="1"/>
  <c r="BB27" i="63"/>
  <c r="BA67" i="63"/>
  <c r="BA57" i="63"/>
  <c r="BA62" i="63" s="1"/>
  <c r="BC30" i="63" l="1"/>
  <c r="BC33" i="63" s="1"/>
  <c r="BC52" i="63" s="1"/>
  <c r="BC27" i="63"/>
  <c r="BB67" i="63"/>
  <c r="BB57" i="63"/>
  <c r="BB62" i="63" s="1"/>
  <c r="BD30" i="63" l="1"/>
  <c r="BD33" i="63" s="1"/>
  <c r="BD52" i="63" s="1"/>
  <c r="BD27" i="63"/>
  <c r="BC57" i="63"/>
  <c r="BC62" i="63" s="1"/>
  <c r="BC67" i="63"/>
  <c r="BE30" i="63" l="1"/>
  <c r="BE33" i="63" s="1"/>
  <c r="BE52" i="63" s="1"/>
  <c r="BE27" i="63"/>
  <c r="BD57" i="63"/>
  <c r="BD62" i="63" s="1"/>
  <c r="BD67" i="63"/>
  <c r="BF30" i="63" l="1"/>
  <c r="BF33" i="63" s="1"/>
  <c r="BF52" i="63" s="1"/>
  <c r="BF27" i="63"/>
  <c r="BE57" i="63"/>
  <c r="BE62" i="63" s="1"/>
  <c r="BE67" i="63"/>
  <c r="BG30" i="63" l="1"/>
  <c r="BG33" i="63" s="1"/>
  <c r="BG52" i="63" s="1"/>
  <c r="BG27" i="63"/>
  <c r="BF57" i="63"/>
  <c r="BF62" i="63" s="1"/>
  <c r="BF67" i="63"/>
  <c r="BH30" i="63" l="1"/>
  <c r="BH33" i="63" s="1"/>
  <c r="BH52" i="63" s="1"/>
  <c r="BH27" i="63"/>
  <c r="BG57" i="63"/>
  <c r="BG62" i="63" s="1"/>
  <c r="BG67" i="63"/>
  <c r="BI30" i="63" l="1"/>
  <c r="BI33" i="63" s="1"/>
  <c r="BI52" i="63" s="1"/>
  <c r="BI27" i="63"/>
  <c r="BH67" i="63"/>
  <c r="BH57" i="63"/>
  <c r="BH62" i="63" s="1"/>
  <c r="BI67" i="63" l="1"/>
  <c r="BI57" i="63"/>
  <c r="BI62" i="63" s="1"/>
  <c r="BJ30" i="63"/>
  <c r="BJ33" i="63" s="1"/>
  <c r="BJ52" i="63" s="1"/>
  <c r="BJ27" i="63"/>
  <c r="BK30" i="63" l="1"/>
  <c r="BK33" i="63" s="1"/>
  <c r="BK52" i="63" s="1"/>
  <c r="BK27" i="63"/>
  <c r="BJ57" i="63"/>
  <c r="BJ62" i="63" s="1"/>
  <c r="BJ67" i="63"/>
  <c r="BL30" i="63" l="1"/>
  <c r="BL33" i="63" s="1"/>
  <c r="BL52" i="63" s="1"/>
  <c r="BL27" i="63"/>
  <c r="BK57" i="63"/>
  <c r="BK62" i="63" s="1"/>
  <c r="BK67" i="63"/>
  <c r="BM30" i="63" l="1"/>
  <c r="BM33" i="63" s="1"/>
  <c r="BM52" i="63" s="1"/>
  <c r="BM27" i="63"/>
  <c r="BL57" i="63"/>
  <c r="BL62" i="63" s="1"/>
  <c r="BL67" i="63"/>
  <c r="BN30" i="63" l="1"/>
  <c r="BN33" i="63" s="1"/>
  <c r="BN52" i="63" s="1"/>
  <c r="BN27" i="63"/>
  <c r="BM67" i="63"/>
  <c r="BM57" i="63"/>
  <c r="BM62" i="63" s="1"/>
  <c r="BO30" i="63" l="1"/>
  <c r="BO33" i="63" s="1"/>
  <c r="BO52" i="63" s="1"/>
  <c r="BO27" i="63"/>
  <c r="BN67" i="63"/>
  <c r="BN57" i="63"/>
  <c r="BN62" i="63" s="1"/>
  <c r="BP30" i="63" l="1"/>
  <c r="BP33" i="63" s="1"/>
  <c r="BP52" i="63" s="1"/>
  <c r="BP27" i="63"/>
  <c r="BO67" i="63"/>
  <c r="BO57" i="63"/>
  <c r="BO62" i="63" s="1"/>
  <c r="BQ30" i="63" l="1"/>
  <c r="BQ33" i="63" s="1"/>
  <c r="BQ52" i="63" s="1"/>
  <c r="BQ27" i="63"/>
  <c r="BP67" i="63"/>
  <c r="BP57" i="63"/>
  <c r="BP62" i="63" s="1"/>
  <c r="BR30" i="63" l="1"/>
  <c r="BR33" i="63" s="1"/>
  <c r="BR52" i="63" s="1"/>
  <c r="BR27" i="63"/>
  <c r="BQ67" i="63"/>
  <c r="BQ57" i="63"/>
  <c r="BQ62" i="63" s="1"/>
  <c r="BS30" i="63" l="1"/>
  <c r="BS33" i="63" s="1"/>
  <c r="BS52" i="63" s="1"/>
  <c r="BS27" i="63"/>
  <c r="BR67" i="63"/>
  <c r="BR57" i="63"/>
  <c r="BR62" i="63" s="1"/>
  <c r="BT30" i="63" l="1"/>
  <c r="BT33" i="63" s="1"/>
  <c r="BT52" i="63" s="1"/>
  <c r="BT27" i="63"/>
  <c r="BS57" i="63"/>
  <c r="BS62" i="63" s="1"/>
  <c r="BS67" i="63"/>
  <c r="BU30" i="63" l="1"/>
  <c r="BU33" i="63" s="1"/>
  <c r="BU52" i="63" s="1"/>
  <c r="BU27" i="63"/>
  <c r="BT67" i="63"/>
  <c r="BT57" i="63"/>
  <c r="BT62" i="63" s="1"/>
  <c r="BV30" i="63" l="1"/>
  <c r="BV33" i="63" s="1"/>
  <c r="BV52" i="63" s="1"/>
  <c r="BV27" i="63"/>
  <c r="BU67" i="63"/>
  <c r="BU57" i="63"/>
  <c r="BU62" i="63" s="1"/>
  <c r="BW30" i="63" l="1"/>
  <c r="BW33" i="63" s="1"/>
  <c r="BW52" i="63" s="1"/>
  <c r="BW27" i="63"/>
  <c r="BV57" i="63"/>
  <c r="BV62" i="63" s="1"/>
  <c r="BV67" i="63"/>
  <c r="BW57" i="63" l="1"/>
  <c r="BW62" i="63" s="1"/>
  <c r="BW67"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A1255BA1-BF68-4193-AC01-183653FFFEBA}">
      <text>
        <r>
          <rPr>
            <sz val="10"/>
            <color rgb="FF000000"/>
            <rFont val="Calibri"/>
            <family val="2"/>
            <scheme val="minor"/>
          </rPr>
          <t>======
ID#AAABQ3Cr710
    (2024-07-05 04:32:25)
Source : "Status Of Municipal Solid Waste Generation In 
Kerala And Their Characteristics" study
https://www.researchgate.net/publication/267301163_STATUS_OF_MUNICIPAL_SOLID_WASTE_GENERATION_IN_KERALA_AND_THEIR_CHARACTERISTICS
	-Vrinda Vijayan</t>
        </r>
      </text>
    </comment>
    <comment ref="B10" authorId="0" shapeId="0" xr:uid="{01C2D21E-CB19-408F-8F79-9FB015F27296}">
      <text>
        <r>
          <rPr>
            <sz val="10"/>
            <color rgb="FF000000"/>
            <rFont val="Calibri"/>
            <family val="2"/>
            <scheme val="minor"/>
          </rPr>
          <t>======
ID#AAABQ3Cr714
    (2024-07-05 04:32:25)
Source : "Status Of Municipal Solid Waste Generation In
Kerala And Their Characteristics" study
https://www.researchgate.net/publication/267301163_STATUS_OF_MUNICIPAL_SOLID_WASTE_GENERATION_IN_KERALA_AND_THEIR_CHARACTERISTICS
	-Vrinda Vijayan</t>
        </r>
      </text>
    </comment>
    <comment ref="B18" authorId="0" shapeId="0" xr:uid="{E6D61CAB-3380-42A9-9C32-B32A31843B74}">
      <text>
        <r>
          <rPr>
            <sz val="10"/>
            <color rgb="FF000000"/>
            <rFont val="Calibri"/>
            <family val="2"/>
            <scheme val="minor"/>
          </rPr>
          <t>======
ID#AAABQ3Cr718
    (2024-07-05 04:32:25)
Source : "Status Of Municipal Solid Waste Generation In
Kerala And Their Characteristics" study
https://www.researchgate.net/publication/267301163_STATUS_OF_MUNICIPAL_SOLID_WASTE_GENERATION_IN_KERALA_AND_THEIR_CHARACTERISTICS
	-Vrinda Vijayan</t>
        </r>
      </text>
    </comment>
    <comment ref="B27" authorId="0" shapeId="0" xr:uid="{031BC60E-B9D6-4BE4-98B5-9AECA06AC3C7}">
      <text>
        <r>
          <rPr>
            <sz val="10"/>
            <color rgb="FF000000"/>
            <rFont val="Calibri"/>
            <family val="2"/>
            <scheme val="minor"/>
          </rPr>
          <t>======
ID#AAABQ3Cr71w
    (2024-07-05 04:32:25)
Source : Suchitwa Mission (2020) Report
https://documents1.worldbank.org/curated/en/788471589794618595/pdf/Environmental-and-Social-Management-Framework-Introduction-and-Environmental-Assessment.pdf
	-Vrinda Vijayan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5EF6A54-4031-4954-A2BE-B96EA31678D0}">
      <text>
        <r>
          <rPr>
            <sz val="10"/>
            <color rgb="FF000000"/>
            <rFont val="Calibri"/>
            <family val="2"/>
            <scheme val="minor"/>
          </rPr>
          <t>======
ID#AAABQ3Cr72E
 (2024-07-05 05:45:19)
Population data was taken from Census of India (2001)
https://censusindia.gov.in/census.website/data/census-tables</t>
        </r>
      </text>
    </comment>
    <comment ref="B11" authorId="0" shapeId="0" xr:uid="{F9C0FC4E-3A52-4E82-9F14-13DB31EB4E22}">
      <text>
        <r>
          <rPr>
            <sz val="10"/>
            <color rgb="FF000000"/>
            <rFont val="Calibri"/>
            <family val="2"/>
            <scheme val="minor"/>
          </rPr>
          <t>======
ID#AAABQ3Cr72I
    (2024-07-05 05:45:55)
Projected Population data for years 2002-2010 were taken from Census of India (2006)
http://statehealthsocietybihar.org/survey_reports/Population_Projection_Report_2006.pdf</t>
        </r>
      </text>
    </comment>
    <comment ref="B20" authorId="0" shapeId="0" xr:uid="{394E3136-D2E6-4636-9352-4A64FF08C731}">
      <text>
        <r>
          <rPr>
            <sz val="10"/>
            <color rgb="FF000000"/>
            <rFont val="Calibri"/>
            <family val="2"/>
            <scheme val="minor"/>
          </rPr>
          <t>======
ID#AAABQ3Cr72Q
2024-07-05 05:46:16)
Population data was taken from Census of India (2011)
https://censusindia.gov.in/census.website/data/census-tables</t>
        </r>
      </text>
    </comment>
    <comment ref="B21" authorId="0" shapeId="0" xr:uid="{C69C4CCD-9859-4E82-9C46-A0B47EACAED7}">
      <text>
        <r>
          <rPr>
            <sz val="10"/>
            <color rgb="FF000000"/>
            <rFont val="Calibri"/>
            <family val="2"/>
            <scheme val="minor"/>
          </rPr>
          <t>======
ID#AAABQ3Cr72U
(2024-07-05 05:46:41)
Projected Population data for years 2012-2021 were taken from Census of India (2020)
https://main.mohfw.gov.in/sites/default/files/Population%20Projection%20Report%202011-2036%20-%20upload_compressed_0.pdf</t>
        </r>
      </text>
    </comment>
  </commentList>
</comments>
</file>

<file path=xl/sharedStrings.xml><?xml version="1.0" encoding="utf-8"?>
<sst xmlns="http://schemas.openxmlformats.org/spreadsheetml/2006/main" count="2115" uniqueCount="618">
  <si>
    <t>Kerala</t>
  </si>
  <si>
    <t>Rural</t>
  </si>
  <si>
    <t>Urban</t>
  </si>
  <si>
    <t>Level 1</t>
  </si>
  <si>
    <t>Level 2</t>
  </si>
  <si>
    <t>Level 3</t>
  </si>
  <si>
    <t>Emission / Removal / Bunker</t>
  </si>
  <si>
    <t>Gas</t>
  </si>
  <si>
    <t>State</t>
  </si>
  <si>
    <t>Economic Activity</t>
  </si>
  <si>
    <t>Waste</t>
  </si>
  <si>
    <t>Industrial Wastewater</t>
  </si>
  <si>
    <t>Emissions</t>
  </si>
  <si>
    <t>CH4 (t)</t>
  </si>
  <si>
    <t>Fertilizers</t>
  </si>
  <si>
    <t>Petroleum</t>
  </si>
  <si>
    <t>Dairy</t>
  </si>
  <si>
    <t>Meat</t>
  </si>
  <si>
    <t>Pulp &amp; Paper</t>
  </si>
  <si>
    <t>Rubber</t>
  </si>
  <si>
    <t>Tannery</t>
  </si>
  <si>
    <t>Fish processing</t>
  </si>
  <si>
    <t>Domestic Wastewater</t>
  </si>
  <si>
    <t>Solid Waste Disposal</t>
  </si>
  <si>
    <t>N2O (t)</t>
  </si>
  <si>
    <t>CO2e (t) GWP-AR2</t>
  </si>
  <si>
    <t>CO2e (t) GWP-AR6</t>
  </si>
  <si>
    <t>CO2e (t) GTP-AR6</t>
  </si>
  <si>
    <t>Row Labels</t>
  </si>
  <si>
    <t>Grand Total</t>
  </si>
  <si>
    <t>(All)</t>
  </si>
  <si>
    <t>Sum of 2005</t>
  </si>
  <si>
    <t>Sum of 2006</t>
  </si>
  <si>
    <t>Sum of 2007</t>
  </si>
  <si>
    <t>Sum of 2008</t>
  </si>
  <si>
    <t>Sum of 2009</t>
  </si>
  <si>
    <t>Sum of 2010</t>
  </si>
  <si>
    <t>Sum of 2011</t>
  </si>
  <si>
    <t>Sum of 2012</t>
  </si>
  <si>
    <t>Sum of 2013</t>
  </si>
  <si>
    <t>Sum of 2014</t>
  </si>
  <si>
    <t>Sum of 2015</t>
  </si>
  <si>
    <t>Sum of 2016</t>
  </si>
  <si>
    <t>Sum of 2017</t>
  </si>
  <si>
    <t>Sum of 2018</t>
  </si>
  <si>
    <t>Sum of 2019</t>
  </si>
  <si>
    <t>Sum of 2020</t>
  </si>
  <si>
    <t>Sum of 2021</t>
  </si>
  <si>
    <t>2005</t>
  </si>
  <si>
    <t>2006</t>
  </si>
  <si>
    <t>2007</t>
  </si>
  <si>
    <t>2008</t>
  </si>
  <si>
    <t>2009</t>
  </si>
  <si>
    <t>2010</t>
  </si>
  <si>
    <t>2011</t>
  </si>
  <si>
    <t>2012</t>
  </si>
  <si>
    <t>2013</t>
  </si>
  <si>
    <t>2014</t>
  </si>
  <si>
    <t>2015</t>
  </si>
  <si>
    <t>2016</t>
  </si>
  <si>
    <t>2017</t>
  </si>
  <si>
    <t>2018</t>
  </si>
  <si>
    <t>2019</t>
  </si>
  <si>
    <t>2020</t>
  </si>
  <si>
    <t>2021</t>
  </si>
  <si>
    <t>Total State Population</t>
  </si>
  <si>
    <t>Biological Oxygen Demand (BOD)</t>
  </si>
  <si>
    <t>Gm/person/day</t>
  </si>
  <si>
    <t>Total TOW in Wastewater generated (without correction factor I)</t>
  </si>
  <si>
    <t>kg BOD/Year</t>
  </si>
  <si>
    <t>Icollected</t>
  </si>
  <si>
    <t>Iuncollected</t>
  </si>
  <si>
    <t>TOWcollected</t>
  </si>
  <si>
    <t>TOWuncollected</t>
  </si>
  <si>
    <t>Bo - maximum CH4 producing capacity</t>
  </si>
  <si>
    <t>kg CH4/kg BOD</t>
  </si>
  <si>
    <t>Organic component removed as sludge in inventory year, (S)</t>
  </si>
  <si>
    <t>kg BOD/yr</t>
  </si>
  <si>
    <t>Methane Correction Factor (MCF)</t>
  </si>
  <si>
    <t>Treatment System (j)</t>
  </si>
  <si>
    <t>MCFj</t>
  </si>
  <si>
    <t>Anaerobic reactor</t>
  </si>
  <si>
    <t>Centralized, aerobic
 treatment plant Inot well managed, overloaded)</t>
  </si>
  <si>
    <t>Centralized, aerobic
 treatment plant well managed</t>
  </si>
  <si>
    <t>Stagnant Sewer</t>
  </si>
  <si>
    <t>Sea Lake or river discharge</t>
  </si>
  <si>
    <t>Flowing Sewer (open/closed)</t>
  </si>
  <si>
    <t>Septic system</t>
  </si>
  <si>
    <t>Latrine - Dry climate, ground water table lower than latrine, communal (many users)</t>
  </si>
  <si>
    <t>Latrine (Dry climate, ground water table lower than latrine, small family (3-5 members))</t>
  </si>
  <si>
    <t>Share of population using treatment/discharge pathway for Kerala (Urban) - based on NSS Socio economic survey 2008-09 and 2018</t>
  </si>
  <si>
    <t>Treatment/ discharge type</t>
  </si>
  <si>
    <t>Septic Tank</t>
  </si>
  <si>
    <t>Latrine</t>
  </si>
  <si>
    <t>Sewer</t>
  </si>
  <si>
    <t>Others/None</t>
  </si>
  <si>
    <t xml:space="preserve"> </t>
  </si>
  <si>
    <t>Treatment/discharge pathway or system (j)</t>
  </si>
  <si>
    <t>Sewer (collected and not treated)</t>
  </si>
  <si>
    <t>Sewer (collected and anaerobic treatment)</t>
  </si>
  <si>
    <t>Sewer (collected and aerobic treatment,  well managed)</t>
  </si>
  <si>
    <t xml:space="preserve"> Population</t>
  </si>
  <si>
    <t>Methane emission [kg CH4]</t>
  </si>
  <si>
    <t>Emission Factor (EFj)</t>
  </si>
  <si>
    <t>Methane Generation (kg)</t>
  </si>
  <si>
    <t>Septic Tank (uncollected)</t>
  </si>
  <si>
    <t>Latrine (uncollected)</t>
  </si>
  <si>
    <t>Others/None (Uncollected)</t>
  </si>
  <si>
    <t>Total Methane Emission from Domestic Wastewater  Tonnes CH4</t>
  </si>
  <si>
    <t>Total Emission from Domestic Wastewater (Tonnes CO2e) (GWP-AR2)</t>
  </si>
  <si>
    <t>Total Emission from Domestic Wastewater (Tonnes CO2e) (GWP-AR6)</t>
  </si>
  <si>
    <t>Total Emission from Domestic Wastewater (Tonnes CO2e) (GTP-AR6)</t>
  </si>
  <si>
    <t>Total Emission from Domestic Wastewater (Tonnes CO2e) (GWP-AR2) (N20+CH4)</t>
  </si>
  <si>
    <t>Total Emission from Domestic Wastewater (MillionTonnes CO2e) (GWP-AR2) (N20+CH4)</t>
  </si>
  <si>
    <t>Total  Population</t>
  </si>
  <si>
    <t>Annual Per Capita protein consumption</t>
  </si>
  <si>
    <t>Kg/person/year</t>
  </si>
  <si>
    <t>Fraction of Nitrogen in Protein (FNPR)</t>
  </si>
  <si>
    <t>Factor for Non-consumed protein added to the wastewater (FNON-CON)</t>
  </si>
  <si>
    <t>Factor for Industrial and commercial co-discharged protein into the sewer system (FIND-COM)</t>
  </si>
  <si>
    <t>Nitrogen removed with sludge (NSLUDGE)</t>
  </si>
  <si>
    <t>kg N/Year</t>
  </si>
  <si>
    <t>Total annual amount of nitrogen in the wastewater effluent (NEFFLUENT)</t>
  </si>
  <si>
    <t>Emission Factor for N2O emissions from discharged to wastewater (EFEFFLUENT)</t>
  </si>
  <si>
    <t>kg N2O-N/kg N</t>
  </si>
  <si>
    <t>44/28 - The factor is the conversion of kg N2O-N into kg N2O</t>
  </si>
  <si>
    <t>Total N2O Emission from Domestic Wastewater  (Tonnes N2O)</t>
  </si>
  <si>
    <t>Total Emission from Domestic Wastewater  (Tonnes CO2e) (GWP-AR2)</t>
  </si>
  <si>
    <t>Total Emission from Domestic Wastewater  (Tonnes CO2e) (GWP-AR6)</t>
  </si>
  <si>
    <t>Population- Kerala</t>
  </si>
  <si>
    <t>Total population</t>
  </si>
  <si>
    <t>Urban %</t>
  </si>
  <si>
    <t>Rural %</t>
  </si>
  <si>
    <t>Total</t>
  </si>
  <si>
    <t>Source: Census of India</t>
  </si>
  <si>
    <t>For years 2005-2010</t>
  </si>
  <si>
    <t>http://statehealthsocietybihar.org/survey_reports/Population_Projection_Report_2006.pdf</t>
  </si>
  <si>
    <t>Refer Table 8, 9</t>
  </si>
  <si>
    <t>For year 2011</t>
  </si>
  <si>
    <t>https://spb.kerala.gov.in/economic-review/ER2017/web_e/ch11.php?id=1&amp;ch=11</t>
  </si>
  <si>
    <t>For years 2012-2023</t>
  </si>
  <si>
    <t>https://nhm.gov.in/New_Updates_2018/Report_Population_Projection_2019.pdf</t>
  </si>
  <si>
    <t>Annual per capita protein consumption, g/person/day</t>
  </si>
  <si>
    <t xml:space="preserve">Numbers in green indicate values used in the calculations </t>
  </si>
  <si>
    <t>Urban-Schedule1</t>
  </si>
  <si>
    <t>Urban-Schedule2</t>
  </si>
  <si>
    <t>Rural-Schedule1</t>
  </si>
  <si>
    <t>Rural-Schedule2</t>
  </si>
  <si>
    <t>Source: NSSO (2007): 1) Nutritional Intake in India 2004-05, Table 3R for Rural protein intake and Table 3U for Urban protein intake. 
 2)NSSO (2012): Nutritional Intake in India 2009-10. The NSSO survey was conducted over two rounds (or schedules). Values used are average values based on findings across the two schedules in the NSSO survey 2009-10 as indicated in Table 3A-R &amp; Table 3C-R for Rural and Table 3A-U &amp; Table 3C-U for Urban
 3) NSSO (2014): Nutritional Intake in India 2011-12. The NSSO survey was conducted over two rounds (or schedules). Values used are average values based on findings across the two schedules in the NSSO survey 2011-12 as indicated in Table 3A &amp; Table 3B.</t>
  </si>
  <si>
    <t>Average per capita BOD</t>
  </si>
  <si>
    <t>Number in Red indicate that the State level per capita BOD values are not available and the average National BOD value is used</t>
  </si>
  <si>
    <t>Average per capita BOD (gBOD/day)</t>
  </si>
  <si>
    <t>Source: 
 National Environmental Engineering Research Institute (NEERI). 2010: Inventorisation of Methane Emissions from Domestic &amp; Key Industries Wastewater – Indian Network for Climate Change
 Assessment</t>
  </si>
  <si>
    <r>
      <rPr>
        <sz val="11"/>
        <rFont val="&quot;Times New Roman&quot;, serif"/>
      </rPr>
      <t xml:space="preserve">Weblink:
 </t>
    </r>
    <r>
      <rPr>
        <u/>
        <sz val="11"/>
        <color rgb="FF1155CC"/>
        <rFont val="&quot;Times New Roman&quot;, serif"/>
      </rPr>
      <t>http://moef.gov.in/wp-content/uploads/2018/04/M-Karthik.pdf</t>
    </r>
  </si>
  <si>
    <t xml:space="preserve"> ̣</t>
  </si>
  <si>
    <t>Total Degree of Utilization: Kerala</t>
  </si>
  <si>
    <t>Piped sewer sytem</t>
  </si>
  <si>
    <t>septic tank</t>
  </si>
  <si>
    <t>pit latrine</t>
  </si>
  <si>
    <t>others and none</t>
  </si>
  <si>
    <t>Share of  population using treatment/ Discharge pathway or system, 2008-09 (%)</t>
  </si>
  <si>
    <t>Share of  population using treatment/ Discharge pathway or system, 2018(%)</t>
  </si>
  <si>
    <t>CAGR</t>
  </si>
  <si>
    <t>Urban population %</t>
  </si>
  <si>
    <t>Rural population %</t>
  </si>
  <si>
    <t>Availability and Type of Latrine facility in Urban Households- NSS SocioEconomic Survey</t>
  </si>
  <si>
    <t>urban</t>
  </si>
  <si>
    <t>rural</t>
  </si>
  <si>
    <t>% degree of utilisation</t>
  </si>
  <si>
    <t>total</t>
  </si>
  <si>
    <t>piped sewer</t>
  </si>
  <si>
    <t>septic</t>
  </si>
  <si>
    <t>latrine</t>
  </si>
  <si>
    <t>Others</t>
  </si>
  <si>
    <t>Degree of Utilization: 2008-09  and 2018 NSO Socio Economic Survey</t>
  </si>
  <si>
    <t>NSS 2018-Survey</t>
  </si>
  <si>
    <t xml:space="preserve">NSS 2008-09 </t>
  </si>
  <si>
    <t>Type of latrine used</t>
  </si>
  <si>
    <t>Percentage distribution of households</t>
  </si>
  <si>
    <t>Flush/ pour flush to piped sewer sytem</t>
  </si>
  <si>
    <t>Service latrine</t>
  </si>
  <si>
    <t>Flush/ pour flush to septic tank</t>
  </si>
  <si>
    <t>Flush/pour-flush to twin leach pit/single pit</t>
  </si>
  <si>
    <t>septic tank/flush</t>
  </si>
  <si>
    <t>Flush/pour-flush to single pit</t>
  </si>
  <si>
    <t>not known</t>
  </si>
  <si>
    <t>Flush/pour-flush to elsewhere</t>
  </si>
  <si>
    <t>others</t>
  </si>
  <si>
    <t>Ventilated improved pit latrine</t>
  </si>
  <si>
    <t>Pit latrine with slab</t>
  </si>
  <si>
    <t>Type of latrine used -2008-09</t>
  </si>
  <si>
    <t>Pit latrine without slab/open pit</t>
  </si>
  <si>
    <t>Piped sewer system</t>
  </si>
  <si>
    <t>Septic tank</t>
  </si>
  <si>
    <t>Pit latrine</t>
  </si>
  <si>
    <t>2018- type of latrine used</t>
  </si>
  <si>
    <t>Septic tank +sewer</t>
  </si>
  <si>
    <t>Assumptions used for 2018 NSS data</t>
  </si>
  <si>
    <t>Assumptions for 2008-09 NSS data</t>
  </si>
  <si>
    <t>Since only  information on the use of different wastewater treatment/discharge pathways by the Urban population is available from the NSS Socio economic survey 2008-09 and 2018, the corresponding degree of utilization estimated for the Urban population is assumed to be applicable for the two-time periods- 2005-2014 and 2015-2023 respectively across the reporting years in the emission estimates.</t>
  </si>
  <si>
    <t>Source:</t>
  </si>
  <si>
    <t>Report on NSSSocio Economic Survey, 76th Round 2018 : Drinking water, Sanitation, Hygiene and Housing Condition in Kerala</t>
  </si>
  <si>
    <t>https://www.ecostat.kerala.gov.in/storage/publications/630.pdf</t>
  </si>
  <si>
    <t>Report on NSSSocio Economic Survey, 65th Round 2008-09 :  Housing Condition and amenities in Kerala</t>
  </si>
  <si>
    <t>https://www.ecostat.kerala.gov.in/storage/publications/355.pdf</t>
  </si>
  <si>
    <t>Availability and Type of Latrine facility in Rural Households- NSS Socio economic survey 2008-09 and 2018</t>
  </si>
  <si>
    <t xml:space="preserve">1.Pit latrine is a sum of ventilated improved latrine, pit latrine with slab, pit latrine without slab/open pit, flush/pour flush to single pit.
 2. Others and none category constitute piped sewer sytem,others, Flush/pour-flush to twin leach pit/single pit, Flush/pour-flush to elsewhere.                                                                                                        3.Percentage of piped sewer system in rural for 2018 is considered 0 based on
expert opinion from Kerala Water Authority.                                                                                                                                                                                                                                   </t>
  </si>
  <si>
    <t>Since only  information on the use of different wastewater treatment/discharge pathways by the rural population is available from the NSS Socio economic survey 2008-09 and 2018, the corresponding degree of utilization estimated for the rural population is assumed to be applicable for the two-time periods- 2005-2014 and 2015-2023 respectively across the reporting years in the emission estimates.</t>
  </si>
  <si>
    <t>Sewage treatment plants' status and treatment type</t>
  </si>
  <si>
    <t>Sewage Treatment Plants</t>
  </si>
  <si>
    <t>2014-15</t>
  </si>
  <si>
    <t>Remarks</t>
  </si>
  <si>
    <t>Treatment type, Aerobic (%)</t>
  </si>
  <si>
    <t>Treatment type, Anaerobic (%)</t>
  </si>
  <si>
    <t>Sewer collected and not treated, %</t>
  </si>
  <si>
    <t>1999 STP data is used to find GHG emissions from Sewer until 2007. 
 2008 STP data is used to find GHG emissions from Sewer until 2010
 2014 STP data is used to find GHG emissions from Sewer from 2011 to 2015.
 2020 STP data is used to find GHG emissions from sewers from 2016 to 2023</t>
  </si>
  <si>
    <t>Source: 1999: CPHEEO (2005): Status of Water Supply, Sanitation and Solid Waste Management in Urban Areas. Estimated based on reported information referred from Appendix 2: Table B-2 and Table B-3. 
 2008-09: 
 - CPCB (2013): Performance Evaluation of STPs under NCRD. Information referred from Table 2, Table 3, Table 4, Table 5, Table 8, Table 14, Annexure – IV.
 2014-15                                                                                                                                                                                                                                                                                          CPCB (2015): Inventorization of STPs. Information referred from Table 3 and Chapter 4. 
 2020:
 National Inventory of Sewage Treatment Plants, March 2021, CPCB</t>
  </si>
  <si>
    <r>
      <rPr>
        <sz val="11"/>
        <rFont val="&quot;Times New Roman&quot;, serif"/>
      </rPr>
      <t xml:space="preserve">Weblink:
 1999: 
 </t>
    </r>
    <r>
      <rPr>
        <u/>
        <sz val="11"/>
        <color rgb="FF1155CC"/>
        <rFont val="&quot;Times New Roman&quot;, serif"/>
      </rPr>
      <t>https://niua.in/sites/default/files/reserch_paper/RSS-88.pdf</t>
    </r>
    <r>
      <rPr>
        <sz val="11"/>
        <rFont val="&quot;Times New Roman&quot;, serif"/>
      </rPr>
      <t xml:space="preserve">
 2008-09:
 </t>
    </r>
    <r>
      <rPr>
        <u/>
        <sz val="11"/>
        <color rgb="FF1155CC"/>
        <rFont val="&quot;Times New Roman&quot;, serif"/>
      </rPr>
      <t>http://www.cpcbenvis.nic.in/annual_report/AnnualReport_40_Annual_Report_09-10.pdf</t>
    </r>
    <r>
      <rPr>
        <sz val="11"/>
        <rFont val="&quot;Times New Roman&quot;, serif"/>
      </rPr>
      <t xml:space="preserve">
</t>
    </r>
    <r>
      <rPr>
        <u/>
        <sz val="11"/>
        <color rgb="FF1155CC"/>
        <rFont val="&quot;Times New Roman&quot;, serif"/>
      </rPr>
      <t>https://cpcb.nic.in/openpdffile.php?id=UmVwb3J0RmlsZXMvTmV3SXRlbV85OV9OZXdJdGVtXzk5XzUucGRm</t>
    </r>
    <r>
      <rPr>
        <sz val="11"/>
        <rFont val="&quot;Times New Roman&quot;, serif"/>
      </rPr>
      <t xml:space="preserve">
 </t>
    </r>
    <r>
      <rPr>
        <u/>
        <sz val="11"/>
        <color rgb="FF1155CC"/>
        <rFont val="&quot;Times New Roman&quot;, serif"/>
      </rPr>
      <t>https://cpcb.nic.in/openpdffile.php?id=UmVwb3J0RmlsZXMvMjlfMTQ1ODExMDk5Ml9OZXdJdGVtXzE5NV9TVFBfUkVQT1JULnBkZg</t>
    </r>
    <r>
      <rPr>
        <sz val="11"/>
        <rFont val="&quot;Times New Roman&quot;, serif"/>
      </rPr>
      <t xml:space="preserve">
 </t>
    </r>
    <r>
      <rPr>
        <u/>
        <sz val="11"/>
        <color rgb="FF1155CC"/>
        <rFont val="&quot;Times New Roman&quot;, serif"/>
      </rPr>
      <t>https://cpcb.nic.in/openpdffile.php?id=UmVwb3J0RmlsZXMvTmV3SXRlbV8xNTNfRm9yZXdvcmQucGRm</t>
    </r>
    <r>
      <rPr>
        <sz val="11"/>
        <rFont val="&quot;Times New Roman&quot;, serif"/>
      </rPr>
      <t xml:space="preserve">
 2014-15
 </t>
    </r>
    <r>
      <rPr>
        <u/>
        <sz val="11"/>
        <color rgb="FF1155CC"/>
        <rFont val="&quot;Times New Roman&quot;, serif"/>
      </rPr>
      <t>https://nrcd.nic.in/writereaddata/FileUpload/NewItem_210_Inventorization_of_Sewage-Treatment_Plant.pdf</t>
    </r>
    <r>
      <rPr>
        <sz val="11"/>
        <rFont val="&quot;Times New Roman&quot;, serif"/>
      </rPr>
      <t xml:space="preserve">
 2020
 </t>
    </r>
    <r>
      <rPr>
        <u/>
        <sz val="11"/>
        <color rgb="FF1155CC"/>
        <rFont val="&quot;Times New Roman&quot;, serif"/>
      </rPr>
      <t>https://cpcb.nic.in/openpdffile.php?id=UmVwb3J0RmlsZXMvMTIyOF8xNjE1MTk2MzIyX21lZGlhcGhvdG85NTY0LnBkZg==</t>
    </r>
  </si>
  <si>
    <t>(blank)</t>
  </si>
  <si>
    <t>Total Emission from Domestic Wastewater (Tonnes CO2e) (GWP-AR6) (N20+CH4)</t>
  </si>
  <si>
    <t>Total Emission from Domestic Wastewater (Tonnes CO2e) (GTP-AR6) (N20+CH4)</t>
  </si>
  <si>
    <t xml:space="preserve">1.Pit latrine is a sum of ventilated improved latrine, pit latrine with slab, pit latrine without slab/open pit, flush/pour flush to single pit.
2. Others and none category constitute others, Flush/pour-flush to twin leach pit/single pit, Flush/pour-flush to elsewhere.                                                                                                                                                                                                                                          </t>
  </si>
  <si>
    <t>1. In order to get the percentage of piped sewer system  and septic tank  for 2008-09 the corresponding proportions from NSO 2018                                             has been applied to septic tank/flush % of NSO 2008-09 data                                                                                                                                                                                                                                                                                                                  2. Others and none category constitute service latrine, others and not known</t>
  </si>
  <si>
    <t>Urban population served by each latrine system</t>
  </si>
  <si>
    <t>Urban population served by each latrinee  (2018)</t>
  </si>
  <si>
    <t>Urban population served by each latrine (2008-09)</t>
  </si>
  <si>
    <t>Degree of utilisation (urban ) (2008-09)</t>
  </si>
  <si>
    <t>Degree of utilisation (urban ) (2018)</t>
  </si>
  <si>
    <t>Rural Population served by each latrine system</t>
  </si>
  <si>
    <t>Rural population served by each latrine system (2008-09)</t>
  </si>
  <si>
    <t>Rural population served by each latrine system(2018)</t>
  </si>
  <si>
    <t>1. In order to get the percentage of piped sewer system  and septic tank  for 2008-09 the corresponding proportions from NSO 2018                                             has been applied to septic
tank/flush % of NSO 2008-09 data                                                                                                                                                                                                                                                                                                                  2. Others and none category constitute  service latrine, others and not known             
3. Percenatge of piped sewer sytem in 2008-09 is considered 0 based on expert opinion from KWA</t>
  </si>
  <si>
    <t>Degree of utilisation (rural ) (2008-09)</t>
  </si>
  <si>
    <t>Degree of utilisation (rural ) (2018)</t>
  </si>
  <si>
    <t>Degree of utilisation (2008-09)</t>
  </si>
  <si>
    <t>Degree of utilisation (2018)</t>
  </si>
  <si>
    <t>Share of population using treatment/ Discharge pathway or system, 2005-2023 considered for emission estimation</t>
  </si>
  <si>
    <t xml:space="preserve"> Population served by each latrine system and corresponding degree of utilization (%)</t>
  </si>
  <si>
    <t>CODi = Industrial degradable organic component in wastewater</t>
  </si>
  <si>
    <t>Kg COD/m3</t>
  </si>
  <si>
    <t>Iron &amp; Steel</t>
  </si>
  <si>
    <t>Sugar</t>
  </si>
  <si>
    <t>Coffee</t>
  </si>
  <si>
    <t>Fish Processing</t>
  </si>
  <si>
    <t>Industrial Production (Pi)</t>
  </si>
  <si>
    <t>tonnes</t>
  </si>
  <si>
    <t>Unit</t>
  </si>
  <si>
    <t>tonnes/day</t>
  </si>
  <si>
    <t>MLD</t>
  </si>
  <si>
    <t>litres</t>
  </si>
  <si>
    <t>Wastewater generated per tonne of product</t>
  </si>
  <si>
    <t>Wastewater generated per tonne of Product (Wi)</t>
  </si>
  <si>
    <t>m3</t>
  </si>
  <si>
    <t>India</t>
  </si>
  <si>
    <t>Total organically degradable material in wastewater for industry (TOWi)</t>
  </si>
  <si>
    <t>Kg COD/Year</t>
  </si>
  <si>
    <t>Default Methane correction factor (MCF) by type of treatment/discharge pathway or system (Source: 2006 IPCC Guidelines, Vol. 5, Chapter 6: Wastewater Treatment and Discharge, Table 6.8)</t>
  </si>
  <si>
    <t>MCF</t>
  </si>
  <si>
    <t>Sea, river and lake discharge</t>
  </si>
  <si>
    <t>Aerobic treatment plant (well managed)</t>
  </si>
  <si>
    <t>Aerobic treatment plant (not well managed; overloaded)</t>
  </si>
  <si>
    <t>Anaerobic digester for sludge</t>
  </si>
  <si>
    <t>Anaerobic reactor (e.g., UASB, Fixed Film Reactor)</t>
  </si>
  <si>
    <t>Anaerobic shallow lagoon (Depth less than 2 metres)</t>
  </si>
  <si>
    <t>Anaerobic deep lagoon (Depth more than 2 metres)</t>
  </si>
  <si>
    <t>MCFx = Methane correction factor of the "x" system treating the effluent</t>
  </si>
  <si>
    <t>Bo = Maximum methane production capacity for industrial effluents (2006 IPCC Guidelines, Vol. 5, Chapter 6: Wastewater Treatment and Discharge, Equation Number 6.5)</t>
  </si>
  <si>
    <t>kg CH4/kg COD</t>
  </si>
  <si>
    <t>Emission Factor (EFi)</t>
  </si>
  <si>
    <t>Si = Organic Component removed as Sludge in inventory year (2006 IPCC Guidelines, Vol. 5, Chapter 6: Wastewater Treatment and Discharge, Equation Number 6.4)</t>
  </si>
  <si>
    <t>kg COD/Year</t>
  </si>
  <si>
    <t>Total emission (without methane recovery) [Tonnes CH4]</t>
  </si>
  <si>
    <t>Tonnes</t>
  </si>
  <si>
    <t>Methane recovery</t>
  </si>
  <si>
    <t>Fraction</t>
  </si>
  <si>
    <t>Total emission after Methane recovery [Tonnes CH4]</t>
  </si>
  <si>
    <t>Units</t>
  </si>
  <si>
    <t>2012-13</t>
  </si>
  <si>
    <t>2013-14</t>
  </si>
  <si>
    <t>2015-16</t>
  </si>
  <si>
    <t>2016-17</t>
  </si>
  <si>
    <t>2017-18</t>
  </si>
  <si>
    <t>2018-19</t>
  </si>
  <si>
    <t>2019-20</t>
  </si>
  <si>
    <t>2020-21</t>
  </si>
  <si>
    <t>2021-22</t>
  </si>
  <si>
    <t>2022-23</t>
  </si>
  <si>
    <t>2023-24</t>
  </si>
  <si>
    <t>State-level Industrial wastewater emission estimates- Petroleum</t>
  </si>
  <si>
    <t>Source: BUR 3 Table 2.31</t>
  </si>
  <si>
    <t>Petroleum, oil and Lubricants - India</t>
  </si>
  <si>
    <t>Industrial production per day</t>
  </si>
  <si>
    <t>tonnes /day</t>
  </si>
  <si>
    <t>Effluent generation</t>
  </si>
  <si>
    <t>Wastewater generated per tonne of product (m3)</t>
  </si>
  <si>
    <t>Petroleum-India</t>
  </si>
  <si>
    <t xml:space="preserve"> Source: 2006 IPCC Guidelines, Vol. 5, Chapter 6: Wastewater Treatment and Discharge, Table 6.8</t>
  </si>
  <si>
    <t>source: BUR 3 , Table 2.31</t>
  </si>
  <si>
    <t>As per 2006 IPCC Guidelines, Vol.5, Chapter 6: Wastewater Treatment and Discharge and NEERI document on Inventorization of Methane Emissions from Domestic &amp; Key Industries Wastewater – Indian Network for Climate Change Assessment, 2010. Available at: http://www.moef.nic.in/sites/default/files/M%20Karthik.pdf</t>
  </si>
  <si>
    <t>Source: IPCC 2006</t>
  </si>
  <si>
    <t>kerala</t>
  </si>
  <si>
    <t>Total emission for Petroleum sector [Tonnes CO2e] (GWP AR2)</t>
  </si>
  <si>
    <t>Total emission for Petroleum sector [Tonnes CO2e] (GWP AR6)</t>
  </si>
  <si>
    <t>Total emission for Petroleum sector [Tonnes CO2e] (GTP AR6)</t>
  </si>
  <si>
    <t>State-wise production of Petroleum, Oil and Lubricants considered in the emission estimates</t>
  </si>
  <si>
    <t>Thousand Tonnes</t>
  </si>
  <si>
    <r>
      <rPr>
        <sz val="12"/>
        <color rgb="FF000000"/>
        <rFont val="&quot;Times New Roman&quot;, serif"/>
      </rPr>
      <t xml:space="preserve">source: For 2009-10 to 2021-22 - </t>
    </r>
    <r>
      <rPr>
        <u/>
        <sz val="12"/>
        <color rgb="FF1155CC"/>
        <rFont val="&quot;Times New Roman&quot;, serif"/>
      </rPr>
      <t>https://www.bharatpetroleum.in/Bharat-Petroleum-For/Refineries/Kochi-Refinery/Performance.aspx</t>
    </r>
  </si>
  <si>
    <t>Remarks:</t>
  </si>
  <si>
    <t>for 2004-05 to 2008-09  National-level data available on production of Petroleum products has been apportioned to kerala based on corresponding proportions of 'Total volume of Crude Oil processed' by refineries located in kerala</t>
  </si>
  <si>
    <t>Source: Petroleum Planning &amp; Analysis Cell (PPAC), Ministry of Petroleum &amp; Natural Gas – Production of Petroleum Products</t>
  </si>
  <si>
    <t>Weblink: http://www.ppac.org.in/WriteReadData/userfiles/file/PT_crude_H.xls</t>
  </si>
  <si>
    <t>State-level Industrial wastewater emission estimates- Dairy</t>
  </si>
  <si>
    <t>Source: BUR 3 , Table 2.31</t>
  </si>
  <si>
    <t>unit</t>
  </si>
  <si>
    <t>tonnes per day</t>
  </si>
  <si>
    <t>Dairy - India</t>
  </si>
  <si>
    <t>source: BUR 3, Table 2.31</t>
  </si>
  <si>
    <t>Total emission for Dairy sector [Tonnes CO2e] (GWP AR2)</t>
  </si>
  <si>
    <t>Total emission for Dairy sector [Tonnes CO2e] (GWP AR6)</t>
  </si>
  <si>
    <t>Total emission for Dairy sector [Tonnes CO2e] (GTP AR6)</t>
  </si>
  <si>
    <t>State-wise Milk Production considered in the emission estimates</t>
  </si>
  <si>
    <t>Data received from KSPCB</t>
  </si>
  <si>
    <t>Sl No</t>
  </si>
  <si>
    <t>Industry</t>
  </si>
  <si>
    <t>Type</t>
  </si>
  <si>
    <t>Average production</t>
  </si>
  <si>
    <t>installed capacity</t>
  </si>
  <si>
    <t>Classic Cream Dairy</t>
  </si>
  <si>
    <t>Dairy Unit</t>
  </si>
  <si>
    <t>MT/DAY</t>
  </si>
  <si>
    <t>Ernakulam Regional CoOperative Milk Producer'S Union Ltd (E.R.C.M.P.U. Ltd)</t>
  </si>
  <si>
    <t>High Range Development Centre, Jeevodaya Milk Project</t>
  </si>
  <si>
    <t>Inkal Ventures Private Limited, Elammannor</t>
  </si>
  <si>
    <t>Jais Milk Products</t>
  </si>
  <si>
    <t>Kerala Co -Operative Milk Marketting Federation, Central Products Dairy, Punnapra Alappuzha - 688 004.</t>
  </si>
  <si>
    <t>Kollam Dairy</t>
  </si>
  <si>
    <t>Kottayam Dairy, Vadavathoor</t>
  </si>
  <si>
    <t>Kozhikode Dairy</t>
  </si>
  <si>
    <t>Milk processing and dairy products</t>
  </si>
  <si>
    <t>KSE Ltd, Dairy Division, Konikkara, Marathakkara P.O, Thrissur - 680 320</t>
  </si>
  <si>
    <t>Dairy Division &amp; Ice Cream Plant</t>
  </si>
  <si>
    <t>Malabar Regional CoOperative Milk Producers Union Ltd, Kannur Dairy,Pallikkunnu Po, Kannur-4</t>
  </si>
  <si>
    <t>Dairy Orocessing Unit</t>
  </si>
  <si>
    <t>Malanadu Development Society, Naranganam, Pathanamthitt</t>
  </si>
  <si>
    <t>Malanadu Farmers Society, Vazhichal Ottasekharamangalam Trivandrum Kerala69512</t>
  </si>
  <si>
    <t>Milk Chilling Plant</t>
  </si>
  <si>
    <t>Milma Dairy MRCMPU Ltd Wayanad</t>
  </si>
  <si>
    <t>Milma Malayora Dairy, Kaithapram.P.O., Sreekandapuram, Kannur Dt - 670631</t>
  </si>
  <si>
    <t>Muralya Dairy Products Private Limited, Kattakkad</t>
  </si>
  <si>
    <t>Palika Food Products</t>
  </si>
  <si>
    <t>Pathanamthitta Dairy, Mamood, TRCMPU Ltd</t>
  </si>
  <si>
    <t>TRCMPU Ltd., Ambalathara</t>
  </si>
  <si>
    <t>Venad Dairy Products</t>
  </si>
  <si>
    <t>Vilayil Dairy, Muthukattukara, Nooranad P O, Mavelikkara</t>
  </si>
  <si>
    <t>industry</t>
  </si>
  <si>
    <t>MT/day</t>
  </si>
  <si>
    <t>MT/year</t>
  </si>
  <si>
    <t>State-level Industrial wastewater emission estimates- Meat</t>
  </si>
  <si>
    <t>Source-BUR 2 , Table 2.17</t>
  </si>
  <si>
    <t>Industrial production per day (tonnes)</t>
  </si>
  <si>
    <t>Meat - India</t>
  </si>
  <si>
    <t>2006 IPCC guidelines for National Greenhouse Gas Inventories, Vol. 5, Chapter 6: Wastewater Treatment and Discharge. Available at http://www.ipcc_x0002_nggip.iges.or.jp/public/2006gl/pdf/5_Volume5/V5_6_ Ch6_Wastewater.pd</t>
  </si>
  <si>
    <t>Total emission for Meat sector [Tonnes CO2e] (GWP AR2)</t>
  </si>
  <si>
    <t>Total emission for Meat sector [Tonnes CO2e] (GWP AR6)</t>
  </si>
  <si>
    <t>Total emission for Meat sector [Tonnes CO2e] (GTP AR6)</t>
  </si>
  <si>
    <t>State-wise Meat Production considered in the emission estimates</t>
  </si>
  <si>
    <t>category</t>
  </si>
  <si>
    <t>scale</t>
  </si>
  <si>
    <t>local body</t>
  </si>
  <si>
    <t>Effluent generation (MLD)</t>
  </si>
  <si>
    <t>Mode of disposal</t>
  </si>
  <si>
    <t>Varsha Fresh Meat Products Private Limited</t>
  </si>
  <si>
    <t>Slaughter houses and meat processing</t>
  </si>
  <si>
    <t>Red</t>
  </si>
  <si>
    <t>Large</t>
  </si>
  <si>
    <t>Pudusserry Panchayath</t>
  </si>
  <si>
    <t>Irrigation Balance Soak Pit</t>
  </si>
  <si>
    <t>MT/Day</t>
  </si>
  <si>
    <t>Star Fisheries And Cold Storage, Elappara P.O, Elappara, Idukki</t>
  </si>
  <si>
    <t>Meat Processing &amp; Cold Storage</t>
  </si>
  <si>
    <t>orange</t>
  </si>
  <si>
    <t>small</t>
  </si>
  <si>
    <t>Elappara</t>
  </si>
  <si>
    <t>septic tank soak pit</t>
  </si>
  <si>
    <t>Brahmagiri development society,Multi species abattoir &amp; meat processing plant</t>
  </si>
  <si>
    <t>red</t>
  </si>
  <si>
    <t>large</t>
  </si>
  <si>
    <t>Nenmeni Panchayat</t>
  </si>
  <si>
    <t>reuse</t>
  </si>
  <si>
    <t>State-wise Paper Production considered in the emission estimates</t>
  </si>
  <si>
    <t>Greenland paper limited, Adichanaloor</t>
  </si>
  <si>
    <t>Paper and pulp</t>
  </si>
  <si>
    <t>medium</t>
  </si>
  <si>
    <t>Adichanallor</t>
  </si>
  <si>
    <t>recycle</t>
  </si>
  <si>
    <t>RPC paper mills</t>
  </si>
  <si>
    <t>pulp and paper</t>
  </si>
  <si>
    <t>karavallor</t>
  </si>
  <si>
    <t>Travancore Paper Mills (P) Ltd, Kaduvinal.P.O Vallikunnam Alappuzha</t>
  </si>
  <si>
    <t>Kraft paper</t>
  </si>
  <si>
    <t>Vallikkunnam</t>
  </si>
  <si>
    <t>soak pit</t>
  </si>
  <si>
    <t>Canara Paper Mills (P) Limited, Changanassery,</t>
  </si>
  <si>
    <t>Hindustan Newsprint Limited</t>
  </si>
  <si>
    <t>Velloor Panchayat</t>
  </si>
  <si>
    <t>soakpit</t>
  </si>
  <si>
    <t>MT/YEAR</t>
  </si>
  <si>
    <t>Cson Paper Mills Private Limited</t>
  </si>
  <si>
    <t>Small</t>
  </si>
  <si>
    <t>Kothamanagalam</t>
  </si>
  <si>
    <t>Soak Pit</t>
  </si>
  <si>
    <t>Kunnath Paper Mills pvt Ltd</t>
  </si>
  <si>
    <t>Muthalamada</t>
  </si>
  <si>
    <t>Zero Liquid Discharge System</t>
  </si>
  <si>
    <t>Total effluent</t>
  </si>
  <si>
    <t>MT/day excluding Hindustan newsprint Ltd</t>
  </si>
  <si>
    <t>MT/year excluding Hindustan Newsprint Ltd</t>
  </si>
  <si>
    <t>MT/year including Hindustan Newsprint Ltd</t>
  </si>
  <si>
    <t>State-level Industrial wastewater emission estimates- Pulp &amp; Paper</t>
  </si>
  <si>
    <t>Source: BUR 3, Table 2.31</t>
  </si>
  <si>
    <t>tonnes/Day</t>
  </si>
  <si>
    <t>litres/day</t>
  </si>
  <si>
    <t>Prodution</t>
  </si>
  <si>
    <t>Wastewater generated per tonnne of product</t>
  </si>
  <si>
    <t>Paper - India</t>
  </si>
  <si>
    <t>Emission Factor (EFi) (2005 to 2007)</t>
  </si>
  <si>
    <t>Total emission for Paper sector [Tonnes CO2e] (GWP AR2)</t>
  </si>
  <si>
    <t>Total emission for Paper sector [Tonnes CO2e] (GWP AR6)</t>
  </si>
  <si>
    <t>Total emission for Paper sector [Tonnes CO2e] (GTP AR6)</t>
  </si>
  <si>
    <t>State-level Industrial wastewater emission estimates- Rubber</t>
  </si>
  <si>
    <t>Natural and Synthetic Rubber</t>
  </si>
  <si>
    <t>`</t>
  </si>
  <si>
    <t>Rubber - India</t>
  </si>
  <si>
    <t>Total emission for Rubber sector [Tonnes CO2e] (GWP AR2)</t>
  </si>
  <si>
    <t>Total emission for Rubber sector [Tonnes CO2e] (GWP AR6)</t>
  </si>
  <si>
    <t>Total emission for Rubber sector [Tonnes CO2e] (GTP AR6)</t>
  </si>
  <si>
    <t>Remarks: MCF of rubber industry is considered zero   (GHGPI pase 3 methodology)</t>
  </si>
  <si>
    <t>State-level information for the emission factor related parameters is not available. The 2006 IPCC Guidelines and other reference documents define values for the emission factors and coefficients at the national level only. Therefore, the national level values listed for each industry sector are used in the emission estimation across Kerala</t>
  </si>
  <si>
    <t>State-wise Rubber Production considered in the emission estimates</t>
  </si>
  <si>
    <t>Natural and Synthetic Rubber - All India</t>
  </si>
  <si>
    <t>Source: Natural and synthetic rubber production data for all India has been taken from Rubber Board Monthly Statistics News from 2019-20 to 2021-22, Prior 2018 has been taken from GHGP phase 4 (ICLEI)</t>
  </si>
  <si>
    <t>Weblink:http://rubberboard.org.in/menuview</t>
  </si>
  <si>
    <r>
      <rPr>
        <b/>
        <u/>
        <sz val="12"/>
        <color rgb="FF000000"/>
        <rFont val="&quot;Times New Roman&quot;, serif"/>
      </rPr>
      <t xml:space="preserve">Remarks: </t>
    </r>
    <r>
      <rPr>
        <u/>
        <sz val="12"/>
        <color rgb="FF000000"/>
        <rFont val="&quot;Times New Roman&quot;, serif"/>
      </rPr>
      <t xml:space="preserve">State-wise data on Natural and Synthetic Rubber processed by states is not available. National-level data on cumulative production of Natural and Synthetic Rubber has been apportioned to the state based on the available data on no. of licensed rubber manufacturers across the emission reporting period. Information of installed production capacity for these manufacturers is not available for the period between 2004-05 to 2013-14 and thus apportionment has been done solely on the basis of the number of  licensed manufacturers. </t>
    </r>
  </si>
  <si>
    <t>Considered No. of Rubber Manufacturers by State</t>
  </si>
  <si>
    <t>No. of Manufacturers</t>
  </si>
  <si>
    <t>Nos.</t>
  </si>
  <si>
    <t>Source: GHGPI phase 4 (ICLEI)</t>
  </si>
  <si>
    <t>Reported No. of Manufacturers by State</t>
  </si>
  <si>
    <t>State-level Industrial wastewater emission estimates- Tannery</t>
  </si>
  <si>
    <t>Tannery - India</t>
  </si>
  <si>
    <t>Total emission for Tannery sector [Tonnes CO2e] (GWP AR2)</t>
  </si>
  <si>
    <t>Total emission for Tannery sector [Tonnes CO2e] (GWP AR6)</t>
  </si>
  <si>
    <t>State-wise Tannery Production considered in the emission estimates</t>
  </si>
  <si>
    <t>Average production data</t>
  </si>
  <si>
    <t>Installed capacity</t>
  </si>
  <si>
    <t>Tms Leathers Industrial Development Area Edayar, Muppathadom P.O.</t>
  </si>
  <si>
    <t>Leather</t>
  </si>
  <si>
    <t>RED</t>
  </si>
  <si>
    <t>Kadungalur Panchayath u</t>
  </si>
  <si>
    <t>river/reuse</t>
  </si>
  <si>
    <t>KG/DAY</t>
  </si>
  <si>
    <t>Tonnes/day</t>
  </si>
  <si>
    <t>Tonnes/year</t>
  </si>
  <si>
    <t>State-level Industrial wastewater emission estimates- Fish Processing</t>
  </si>
  <si>
    <t>Fish processing - India</t>
  </si>
  <si>
    <t>Total emission for Fish processing sector [Tonnes CO2e] (GWP AR2)</t>
  </si>
  <si>
    <t>Total emission for Fish processing sector [Tonnes CO2e] (GWP AR6)</t>
  </si>
  <si>
    <t>Total emission for Fish processing sector [Tonnes CO2e] (GTP AR6)</t>
  </si>
  <si>
    <t xml:space="preserve">State-wise Processed Fish Production </t>
  </si>
  <si>
    <t>Abad Exports Pvt Ltd 1/168 Aroor.P.O Alappuzha -688 534.</t>
  </si>
  <si>
    <t>Metric Tonnes/Day</t>
  </si>
  <si>
    <t>Amalgam Nutrients &amp; Feeds Ltd Karumancherry Ezhupunna South.P.O Cherthala -688 550</t>
  </si>
  <si>
    <t>Asharaf'S Prawn Processing Unit Kuthiyathodu Cherthala</t>
  </si>
  <si>
    <t>Food and Meat Stall owned by Asharaf</t>
  </si>
  <si>
    <t>Bharath Sea Foods Unit -I Chandiroor Alappuzha</t>
  </si>
  <si>
    <t>Bharath Sea Foods Unit -I Peeling Shed Of A.M.Nazer Chandiroor</t>
  </si>
  <si>
    <t>Busthan Al Wathaniya Ksidc Compound Cherthala</t>
  </si>
  <si>
    <t>Cherukattu Industries A.P Iv/434 Eramalloor P.O Alappuzha</t>
  </si>
  <si>
    <t>Cherukattu Industries Marine Division Arookutty Ferry Road Aroor.P.O Cherthala Alappuzha -688 534</t>
  </si>
  <si>
    <t>Choice Canning Comapany</t>
  </si>
  <si>
    <t>Choice Canning Company</t>
  </si>
  <si>
    <t>Choice Canning Company 21/1391- A,Thangal Nagar,Palluruthy</t>
  </si>
  <si>
    <t>Cochin Frozen Food Exports Pvt Ltd, Arookkutty Ferry</t>
  </si>
  <si>
    <t>Dolphin Wiresp Ltd , Chemical Indl. Estate , Aroo</t>
  </si>
  <si>
    <t>Dss Marine, Aroor</t>
  </si>
  <si>
    <t>Kilogram</t>
  </si>
  <si>
    <t>Durga Marine, Ezhupunna , Cherthala</t>
  </si>
  <si>
    <t>Elje Marine Products Ezhupunna South.P.O Cherthala</t>
  </si>
  <si>
    <t>Emily Marine Products Ezhupunna South.P.O Cherthala.</t>
  </si>
  <si>
    <t>Foodco Delicacies Indian (P) Ltd, Thrichattukulam Po Near Perumbalam Junction, Cherthala</t>
  </si>
  <si>
    <t>Freshalicious Super Bazar Chandiroor, Aroor</t>
  </si>
  <si>
    <t>Friends Marine Agencies Ezhupunna.P.O Cherthala</t>
  </si>
  <si>
    <t>Front Line Exports 11/814 Industrial Estate Aroor Alappuzha</t>
  </si>
  <si>
    <t>Gold Marine Exports Pvt</t>
  </si>
  <si>
    <t>Grand Marine Foods, Aroor</t>
  </si>
  <si>
    <t>Herald Marine Products Pvt Ltd</t>
  </si>
  <si>
    <t>HIC ABF Special Foods Pvt Ltd Aroor</t>
  </si>
  <si>
    <t>India Sea Food Ezhupunna Cherthala</t>
  </si>
  <si>
    <t>Indo French Shel Fish Comp Pvt Ltd , Cherthala</t>
  </si>
  <si>
    <t>Integrated Rubian Exports Ltd; Rubian Complex Aroor Alappuzha -688 534</t>
  </si>
  <si>
    <t>International Freeze Fish Exports Unit -Ii Ward - Ii/809A Cie,Aroor Alappuzha -688 534</t>
  </si>
  <si>
    <t>Jude Industries, Eramalloor P.O., Cherthala -</t>
  </si>
  <si>
    <t>Kb'S Fresh Fish Corner Vettuveni, Haripad P.O., Alappuzha -690514</t>
  </si>
  <si>
    <t>Koluthara Exports Ltd P.B.No.7 Keltron Road Aroor Alappuzha -688 534</t>
  </si>
  <si>
    <t>Mangala Sea Products Development Area, Aroor.P.O Alappuzha -688 534</t>
  </si>
  <si>
    <t>Marksmen Marine Products Pvt Ltd,Syno.61/6-10,Ida, Edayar</t>
  </si>
  <si>
    <t>Metric Tonnes</t>
  </si>
  <si>
    <t>Mukkathu Sea Foods Eramalloor.P.O Cherthala - 688 537</t>
  </si>
  <si>
    <t>Murali Marine Ezhupunna.P.O Cherthala</t>
  </si>
  <si>
    <t>Nettos Exporting and Importing Company</t>
  </si>
  <si>
    <t>Paragon Sea Foods Pvt Ltd Ida,Aroor.P.O Alappuzha.</t>
  </si>
  <si>
    <t>Paramount Marine Exim Ezhupunna, Cherthala, Alappuz</t>
  </si>
  <si>
    <t>Penver Products Pvt Ltd Development Area Aroor.P.O Alappuzha -688 534</t>
  </si>
  <si>
    <t>Pma Pre Processing Shed Thazhupu, Puthukulangara Chavady Road Thuravoor Cherthala Alappuzha</t>
  </si>
  <si>
    <t>Poyilaka Fishereies Private limited, Kollam</t>
  </si>
  <si>
    <t>Pulluvelil Marine Eramalloor.P.O Cherthala</t>
  </si>
  <si>
    <t>Qfroz Trades Private Ltd, Apii/857A, Aroor Industrial Area</t>
  </si>
  <si>
    <t>Riza Marine Valamangalam North Thuravoor.P.O Cherthala Alappuzha.</t>
  </si>
  <si>
    <t>Royal Link Exports Unit -Ii Bldg No.Ap Xii/802</t>
  </si>
  <si>
    <t>Sea Food Innovations,Kuthiathodu,Ch erthala,Alappuzha</t>
  </si>
  <si>
    <t>Sea Fresh Exports Ltd Pre Processing Centre Aroor Alappuzha -688 534</t>
  </si>
  <si>
    <t>Seafood Park India Ltd Xiii/99A,Keltron Road Aroor Alappuzha -688 534.</t>
  </si>
  <si>
    <t>Shuhaib Marine Kadavil, Vayalar East, Cherthala</t>
  </si>
  <si>
    <t>Sreelekshmi Peeling Unit, Panavally Po, Cherthala</t>
  </si>
  <si>
    <t>St. Antony'S Seafood, Aroor P.O., Cherthala</t>
  </si>
  <si>
    <t>Sunitha Pre Processing Centre Eramalloor.P.O Alappuzha</t>
  </si>
  <si>
    <t>Tharayil Sea Foods , Vaylar P.O, Cherthala</t>
  </si>
  <si>
    <t>Tkk Marine Ottakandam Nikarthil Keltron Ferry</t>
  </si>
  <si>
    <t xml:space="preserve">Total </t>
  </si>
  <si>
    <t>Total emission for fertilizer sector (Tonnes CO2e) (GWP AR6)</t>
  </si>
  <si>
    <t>Total emission for fertilizer sector (Tonnes CO2e) (GTP AR6)</t>
  </si>
  <si>
    <t>Total Urban Population</t>
  </si>
  <si>
    <t>Annual growth rate of Urban population</t>
  </si>
  <si>
    <t>percentage</t>
  </si>
  <si>
    <t>-</t>
  </si>
  <si>
    <t>Per capita Waste Generation (g/day)</t>
  </si>
  <si>
    <t>Urban region</t>
  </si>
  <si>
    <t xml:space="preserve">Annual increase in per capita waste generation </t>
  </si>
  <si>
    <t>Total Urban Solid Waste Generation</t>
  </si>
  <si>
    <t>Giga gram</t>
  </si>
  <si>
    <t>Proportion of the Total Waste Generated that is sent to Solid Waste Disposal sites (%)</t>
  </si>
  <si>
    <t>Total Waste sent to Solid Waste Disposal sites</t>
  </si>
  <si>
    <t>DDOCm                                                      (mass of decomposable DOC deposited)</t>
  </si>
  <si>
    <t>DDOCmaT                                                                             (DDOCm accumulated in the SWDS at the end of year T)</t>
  </si>
  <si>
    <t>DDOCmdecompT                                           (DDOCm decomposed in the SWDS in year T)</t>
  </si>
  <si>
    <t>CH4 generatedT                                         (amount of CH4 generated from decomposable material)</t>
  </si>
  <si>
    <t>Default parameter values (IPCC Guidelines)</t>
  </si>
  <si>
    <t>DOCf - fraction of DOC that can decompose</t>
  </si>
  <si>
    <t>MCF - CH4 correction factor for aerobic decomposition in the year of deposition</t>
  </si>
  <si>
    <t>e^-k                                                                              [e = Eulers constant &amp; k= reaction constant (0.17) ]</t>
  </si>
  <si>
    <t>F - Fraction of CH4, by volume, in generated landfill gas</t>
  </si>
  <si>
    <t>RT - recovered CH4 in year T, Gg</t>
  </si>
  <si>
    <t>OXT - Oxidation factor in year T</t>
  </si>
  <si>
    <t>Estimated DOC - Degradable Organic Carbon in the year of deposition based on the Waste composition, fraction, Gg C/Gg waste</t>
  </si>
  <si>
    <t>1954-1994</t>
  </si>
  <si>
    <t>1995-2004</t>
  </si>
  <si>
    <t>2005-2021</t>
  </si>
  <si>
    <t>Total Methane Emission from Solid Waste Disposal</t>
  </si>
  <si>
    <t>Tonnes CH4</t>
  </si>
  <si>
    <t>GWP AR2</t>
  </si>
  <si>
    <t>Total Emission from Solid Waste Disposal</t>
  </si>
  <si>
    <t>Tonnes CO2e</t>
  </si>
  <si>
    <t>GWP AR6</t>
  </si>
  <si>
    <t>GTP AR6</t>
  </si>
  <si>
    <t>Estimation of Per capita waste generation in Kerala</t>
  </si>
  <si>
    <t>A.</t>
  </si>
  <si>
    <t>Year 1996</t>
  </si>
  <si>
    <t>Reported per capita waste generation (kg/day)</t>
  </si>
  <si>
    <t>Per capita waste generation (g/day)</t>
  </si>
  <si>
    <t>B.</t>
  </si>
  <si>
    <t>Year 2001 - Kerala</t>
  </si>
  <si>
    <t>Total waste generated (TPD)</t>
  </si>
  <si>
    <t>Urban Population 2001</t>
  </si>
  <si>
    <t xml:space="preserve"> Estimated per capita waste generation (TPD)</t>
  </si>
  <si>
    <t>Estimated per capita waste generation (g/day)</t>
  </si>
  <si>
    <t>5 Corporation</t>
  </si>
  <si>
    <t>53 Municipalities</t>
  </si>
  <si>
    <t>C.</t>
  </si>
  <si>
    <t>Year 2006 - Kerala</t>
  </si>
  <si>
    <t>Urban Population 2006</t>
  </si>
  <si>
    <t>D.</t>
  </si>
  <si>
    <t xml:space="preserve">Year 2020- Kerala </t>
  </si>
  <si>
    <t>Geographical Area</t>
  </si>
  <si>
    <t>Population 2020</t>
  </si>
  <si>
    <t>Projected Waste (TPD)</t>
  </si>
  <si>
    <t>Per capita TPD</t>
  </si>
  <si>
    <t>Per capita (g/day)</t>
  </si>
  <si>
    <t>Lowland</t>
  </si>
  <si>
    <t>Mid land</t>
  </si>
  <si>
    <t>High Land</t>
  </si>
  <si>
    <t>Average</t>
  </si>
  <si>
    <t>Degradable Organic Carbon values estimated based on reported Waste composition</t>
  </si>
  <si>
    <t>Reported shares of degradable fraction in Waste Composition - national values (1971)</t>
  </si>
  <si>
    <t>Estimated DOC content assumed to be applicable for time period 1954-1994</t>
  </si>
  <si>
    <t>Reported shares of degradable fraction in Waste Composition - national values (1995)</t>
  </si>
  <si>
    <t>Estimated DOC content assumed to be applicable for time period 1995-2004</t>
  </si>
  <si>
    <t>Reported State-wise Waste Composition (2005)</t>
  </si>
  <si>
    <t>Estimated State-wise DOC content assumed to be applicable for time period 2005-2021</t>
  </si>
  <si>
    <t>Compostable (%)</t>
  </si>
  <si>
    <t>Paper (%)</t>
  </si>
  <si>
    <t>Rags (%)</t>
  </si>
  <si>
    <t>Compostable</t>
  </si>
  <si>
    <t>Paper</t>
  </si>
  <si>
    <t>Rags</t>
  </si>
  <si>
    <t>Aggregate DOC value</t>
  </si>
  <si>
    <t>Total Recyclables (%)</t>
  </si>
  <si>
    <r>
      <rPr>
        <b/>
        <i/>
        <sz val="11"/>
        <color rgb="FF000000"/>
        <rFont val="Calibri"/>
        <family val="2"/>
      </rPr>
      <t xml:space="preserve">Note :  </t>
    </r>
    <r>
      <rPr>
        <i/>
        <sz val="11"/>
        <color rgb="FF000000"/>
        <rFont val="Calibri"/>
        <family val="2"/>
      </rPr>
      <t xml:space="preserve">The aggregate Degradable Organic Carbon (DOC) value was used for emission estimations                                                                                   </t>
    </r>
  </si>
  <si>
    <r>
      <rPr>
        <b/>
        <sz val="11"/>
        <color rgb="FF000000"/>
        <rFont val="Calibri"/>
        <family val="2"/>
      </rPr>
      <t xml:space="preserve">Source: </t>
    </r>
    <r>
      <rPr>
        <sz val="11"/>
        <color rgb="FF000000"/>
        <rFont val="Calibri"/>
        <family val="2"/>
      </rPr>
      <t xml:space="preserve">
1) Share of degradable fraction in wet waste composition was taken from </t>
    </r>
    <r>
      <rPr>
        <i/>
        <sz val="11"/>
        <color rgb="FF000000"/>
        <rFont val="Calibri"/>
        <family val="2"/>
      </rPr>
      <t xml:space="preserve">Integrated Modeling of Solid Waste in India (March, 1999) CREED Working Paper Series no 26 and CPCB, 1999.                                                                                       </t>
    </r>
    <r>
      <rPr>
        <sz val="11"/>
        <color rgb="FF000000"/>
        <rFont val="Calibri"/>
        <family val="2"/>
      </rPr>
      <t xml:space="preserve">2) For year 1995 and 2005, share of degradable fraction in wet waste composition were taken from GHGPI Phase 3
 </t>
    </r>
  </si>
  <si>
    <t>Default DOC values for Organic fractions in Solid Waste as specified (IPCC  Guidelines)</t>
  </si>
  <si>
    <t>Component</t>
  </si>
  <si>
    <t>Default DOC Content values (Wet waste) in fraction</t>
  </si>
  <si>
    <t>Textiles</t>
  </si>
  <si>
    <t>Compostable Matter</t>
  </si>
  <si>
    <t>Kerala :  Urban Population</t>
  </si>
  <si>
    <t>Years</t>
  </si>
  <si>
    <t>Urban Population</t>
  </si>
  <si>
    <t>Sum of 2022</t>
  </si>
  <si>
    <t>Sum of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</si>
</sst>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00"/>
    <numFmt numFmtId="165" formatCode="0.00000"/>
    <numFmt numFmtId="166" formatCode="0.0000"/>
    <numFmt numFmtId="167" formatCode="0.000%"/>
    <numFmt numFmtId="168" formatCode="0.0%"/>
    <numFmt numFmtId="169" formatCode="#,##0.000000"/>
    <numFmt numFmtId="170" formatCode="0.000000"/>
    <numFmt numFmtId="171" formatCode="yyyy\-mm"/>
    <numFmt numFmtId="172" formatCode="yyyy\-m"/>
    <numFmt numFmtId="173" formatCode="0.0"/>
    <numFmt numFmtId="174" formatCode="0.0000000"/>
    <numFmt numFmtId="175" formatCode="#,##0.0"/>
    <numFmt numFmtId="176" formatCode="#,##0.000"/>
    <numFmt numFmtId="177" formatCode="0.00000000"/>
    <numFmt numFmtId="178" formatCode="#,##0.00000"/>
  </numFmts>
  <fonts count="76">
    <font>
      <sz val="11"/>
      <color theme="1"/>
      <name val="Calibri"/>
      <family val="2"/>
      <scheme val="minor"/>
    </font>
    <font>
      <b/>
      <sz val="11"/>
      <color theme="1"/>
      <name val="Calibri"/>
      <family val="2"/>
      <scheme val="minor"/>
    </font>
    <font>
      <sz val="10"/>
      <color rgb="FF000000"/>
      <name val="Calibri"/>
      <family val="2"/>
      <scheme val="minor"/>
    </font>
    <font>
      <sz val="10"/>
      <color rgb="FF000000"/>
      <name val="Calibri"/>
      <family val="2"/>
      <scheme val="minor"/>
    </font>
    <font>
      <b/>
      <sz val="12"/>
      <color theme="1"/>
      <name val="Times New Roman"/>
      <family val="1"/>
    </font>
    <font>
      <b/>
      <sz val="10"/>
      <color theme="1"/>
      <name val="Arial"/>
      <family val="2"/>
    </font>
    <font>
      <sz val="12"/>
      <color theme="1"/>
      <name val="Times New Roman"/>
      <family val="1"/>
    </font>
    <font>
      <i/>
      <sz val="12"/>
      <color theme="1"/>
      <name val="Times New Roman"/>
      <family val="1"/>
    </font>
    <font>
      <b/>
      <i/>
      <sz val="12"/>
      <color theme="1"/>
      <name val="Times New Roman"/>
      <family val="1"/>
    </font>
    <font>
      <sz val="10"/>
      <color theme="1"/>
      <name val="Arial"/>
      <family val="2"/>
    </font>
    <font>
      <sz val="10"/>
      <name val="Arial"/>
      <family val="2"/>
    </font>
    <font>
      <b/>
      <sz val="11"/>
      <color theme="1"/>
      <name val="Times New Roman"/>
      <family val="1"/>
    </font>
    <font>
      <sz val="9"/>
      <color rgb="FF000000"/>
      <name val="&quot;Google Sans Mono&quot;"/>
    </font>
    <font>
      <sz val="10"/>
      <color theme="1"/>
      <name val="Calibri"/>
      <family val="2"/>
      <scheme val="minor"/>
    </font>
    <font>
      <b/>
      <sz val="12"/>
      <color rgb="FF1F1F1F"/>
      <name val="Times New Roman"/>
      <family val="1"/>
    </font>
    <font>
      <sz val="11"/>
      <color theme="1"/>
      <name val="Calibri"/>
      <family val="2"/>
    </font>
    <font>
      <b/>
      <sz val="11"/>
      <color theme="1"/>
      <name val="Calibri"/>
      <family val="2"/>
    </font>
    <font>
      <i/>
      <sz val="11"/>
      <color theme="1"/>
      <name val="Calibri"/>
      <family val="2"/>
    </font>
    <font>
      <b/>
      <sz val="11"/>
      <color rgb="FF000000"/>
      <name val="Calibri"/>
      <family val="2"/>
    </font>
    <font>
      <u/>
      <sz val="11"/>
      <color rgb="FF0000FF"/>
      <name val="Calibri"/>
      <family val="2"/>
    </font>
    <font>
      <b/>
      <i/>
      <sz val="11"/>
      <color theme="1"/>
      <name val="Calibri"/>
      <family val="2"/>
    </font>
    <font>
      <sz val="10"/>
      <color rgb="FF00B050"/>
      <name val="Arial"/>
      <family val="2"/>
    </font>
    <font>
      <b/>
      <sz val="11"/>
      <color rgb="FF000000"/>
      <name val="Times New Roman"/>
      <family val="1"/>
    </font>
    <font>
      <sz val="11"/>
      <color rgb="FF000000"/>
      <name val="Times New Roman"/>
      <family val="1"/>
    </font>
    <font>
      <sz val="11"/>
      <color rgb="FF00B050"/>
      <name val="Times New Roman"/>
      <family val="1"/>
    </font>
    <font>
      <sz val="11"/>
      <color theme="1"/>
      <name val="Times New Roman"/>
      <family val="1"/>
    </font>
    <font>
      <sz val="10"/>
      <color theme="1"/>
      <name val="Times New Roman"/>
      <family val="1"/>
    </font>
    <font>
      <u/>
      <sz val="10"/>
      <color rgb="FF0000FF"/>
      <name val="Times New Roman"/>
      <family val="1"/>
    </font>
    <font>
      <b/>
      <u/>
      <sz val="11"/>
      <color rgb="FF000000"/>
      <name val="Times New Roman"/>
      <family val="1"/>
    </font>
    <font>
      <i/>
      <sz val="11"/>
      <color rgb="FFFF0000"/>
      <name val="Times New Roman"/>
      <family val="1"/>
    </font>
    <font>
      <sz val="10"/>
      <color rgb="FFFF0000"/>
      <name val="Arial"/>
      <family val="2"/>
    </font>
    <font>
      <u/>
      <sz val="11"/>
      <color rgb="FF0000FF"/>
      <name val="Times New Roman"/>
      <family val="1"/>
    </font>
    <font>
      <sz val="11"/>
      <name val="&quot;Times New Roman&quot;, serif"/>
    </font>
    <font>
      <u/>
      <sz val="11"/>
      <color rgb="FF1155CC"/>
      <name val="&quot;Times New Roman&quot;, serif"/>
    </font>
    <font>
      <sz val="11"/>
      <color rgb="FF000000"/>
      <name val="Calibri"/>
      <family val="2"/>
    </font>
    <font>
      <sz val="11"/>
      <color rgb="FF1F1F1F"/>
      <name val="Arial"/>
      <family val="2"/>
    </font>
    <font>
      <b/>
      <u/>
      <sz val="11"/>
      <color rgb="FF000000"/>
      <name val="Calibri"/>
      <family val="2"/>
    </font>
    <font>
      <b/>
      <u/>
      <sz val="10"/>
      <color theme="1"/>
      <name val="Arial"/>
      <family val="2"/>
    </font>
    <font>
      <u/>
      <sz val="10"/>
      <color rgb="FF0000FF"/>
      <name val="Arial"/>
      <family val="2"/>
    </font>
    <font>
      <b/>
      <u/>
      <sz val="11"/>
      <color theme="1"/>
      <name val="Times New Roman"/>
      <family val="1"/>
    </font>
    <font>
      <u/>
      <sz val="10"/>
      <color rgb="FF1155CC"/>
      <name val="Arial"/>
      <family val="2"/>
    </font>
    <font>
      <sz val="10"/>
      <color rgb="FF000000"/>
      <name val="Arial"/>
      <family val="2"/>
    </font>
    <font>
      <sz val="10"/>
      <color theme="1"/>
      <name val="Arial"/>
      <family val="2"/>
    </font>
    <font>
      <sz val="11"/>
      <color rgb="FF000000"/>
      <name val="Calibri"/>
      <family val="2"/>
    </font>
    <font>
      <sz val="11"/>
      <color rgb="FF000000"/>
      <name val="Calibri, sans-serif"/>
    </font>
    <font>
      <b/>
      <sz val="11"/>
      <color rgb="FF000000"/>
      <name val="Times New Roman"/>
      <family val="1"/>
    </font>
    <font>
      <sz val="11"/>
      <color rgb="FF000000"/>
      <name val="Times New Roman"/>
      <family val="1"/>
    </font>
    <font>
      <b/>
      <u/>
      <sz val="10"/>
      <color theme="1"/>
      <name val="Arial"/>
      <family val="2"/>
    </font>
    <font>
      <sz val="11"/>
      <color theme="1"/>
      <name val="Times New Roman"/>
      <family val="1"/>
    </font>
    <font>
      <sz val="11"/>
      <color theme="1"/>
      <name val="Calibri"/>
      <family val="2"/>
    </font>
    <font>
      <b/>
      <sz val="11"/>
      <color theme="1"/>
      <name val="Times New Roman"/>
      <family val="1"/>
    </font>
    <font>
      <b/>
      <u/>
      <sz val="11"/>
      <color rgb="FF1F1F1F"/>
      <name val="Arial"/>
      <family val="2"/>
    </font>
    <font>
      <u/>
      <sz val="11"/>
      <color rgb="FF0000FF"/>
      <name val="&quot;Times New Roman&quot;, serif"/>
    </font>
    <font>
      <b/>
      <sz val="12"/>
      <color rgb="FF000000"/>
      <name val="Times New Roman"/>
      <family val="1"/>
    </font>
    <font>
      <sz val="12"/>
      <color rgb="FF000000"/>
      <name val="Times New Roman"/>
      <family val="1"/>
    </font>
    <font>
      <b/>
      <sz val="10"/>
      <color theme="1"/>
      <name val="Calibri"/>
      <family val="2"/>
      <scheme val="minor"/>
    </font>
    <font>
      <b/>
      <u/>
      <sz val="12"/>
      <color rgb="FF000000"/>
      <name val="Times New Roman"/>
      <family val="1"/>
    </font>
    <font>
      <u/>
      <sz val="12"/>
      <color rgb="FF000000"/>
      <name val="Times New Roman"/>
      <family val="1"/>
    </font>
    <font>
      <sz val="12"/>
      <color rgb="FFFF0000"/>
      <name val="Times New Roman"/>
      <family val="1"/>
    </font>
    <font>
      <sz val="12"/>
      <color rgb="FF000000"/>
      <name val="&quot;Times New Roman&quot;, serif"/>
    </font>
    <font>
      <u/>
      <sz val="12"/>
      <color rgb="FF1155CC"/>
      <name val="&quot;Times New Roman&quot;, serif"/>
    </font>
    <font>
      <sz val="12"/>
      <color rgb="FF000000"/>
      <name val="Cambria"/>
      <family val="1"/>
    </font>
    <font>
      <b/>
      <u/>
      <sz val="12"/>
      <color rgb="FF000000"/>
      <name val="&quot;Times New Roman&quot;, serif"/>
    </font>
    <font>
      <u/>
      <sz val="12"/>
      <color rgb="FF000000"/>
      <name val="&quot;Times New Roman&quot;, serif"/>
    </font>
    <font>
      <i/>
      <sz val="12"/>
      <color rgb="FFFF0000"/>
      <name val="Times New Roman"/>
      <family val="1"/>
    </font>
    <font>
      <sz val="12"/>
      <color rgb="FF000000"/>
      <name val="Times New Roman"/>
      <family val="1"/>
    </font>
    <font>
      <b/>
      <sz val="12"/>
      <color rgb="FF000000"/>
      <name val="Times New Roman"/>
      <family val="1"/>
    </font>
    <font>
      <b/>
      <sz val="11"/>
      <color rgb="FF000000"/>
      <name val="Calibri"/>
      <family val="2"/>
    </font>
    <font>
      <sz val="10"/>
      <name val="Arial"/>
      <family val="2"/>
    </font>
    <font>
      <sz val="7"/>
      <color rgb="FF000000"/>
      <name val="Calibri"/>
      <family val="2"/>
    </font>
    <font>
      <b/>
      <sz val="10"/>
      <color theme="1"/>
      <name val="Arial"/>
      <family val="2"/>
    </font>
    <font>
      <i/>
      <sz val="10"/>
      <color theme="1"/>
      <name val="Arial"/>
      <family val="2"/>
    </font>
    <font>
      <b/>
      <u/>
      <sz val="11"/>
      <color rgb="FF000000"/>
      <name val="Calibri"/>
      <family val="2"/>
    </font>
    <font>
      <b/>
      <i/>
      <sz val="11"/>
      <color rgb="FF000000"/>
      <name val="Calibri"/>
      <family val="2"/>
    </font>
    <font>
      <i/>
      <sz val="11"/>
      <color rgb="FF000000"/>
      <name val="Calibri"/>
      <family val="2"/>
    </font>
    <font>
      <b/>
      <sz val="11"/>
      <color theme="1"/>
      <name val="Calibri"/>
      <family val="2"/>
    </font>
  </fonts>
  <fills count="18">
    <fill>
      <patternFill patternType="none"/>
    </fill>
    <fill>
      <patternFill patternType="gray125"/>
    </fill>
    <fill>
      <patternFill patternType="solid">
        <fgColor rgb="FFDDD9C3"/>
        <bgColor rgb="FFDDD9C3"/>
      </patternFill>
    </fill>
    <fill>
      <patternFill patternType="solid">
        <fgColor rgb="FFEAD1DC"/>
        <bgColor rgb="FFEAD1DC"/>
      </patternFill>
    </fill>
    <fill>
      <patternFill patternType="solid">
        <fgColor rgb="FFFFFFFF"/>
        <bgColor rgb="FFFFFFFF"/>
      </patternFill>
    </fill>
    <fill>
      <patternFill patternType="solid">
        <fgColor rgb="FFF3F0E4"/>
        <bgColor rgb="FFF3F0E4"/>
      </patternFill>
    </fill>
    <fill>
      <patternFill patternType="solid">
        <fgColor rgb="FFD9EAD3"/>
        <bgColor rgb="FFD9EAD3"/>
      </patternFill>
    </fill>
    <fill>
      <patternFill patternType="solid">
        <fgColor theme="9" tint="0.79998168889431442"/>
        <bgColor indexed="64"/>
      </patternFill>
    </fill>
    <fill>
      <patternFill patternType="solid">
        <fgColor theme="9" tint="0.79998168889431442"/>
        <bgColor rgb="FFEAD1DC"/>
      </patternFill>
    </fill>
    <fill>
      <patternFill patternType="solid">
        <fgColor rgb="FFDDD9C4"/>
        <bgColor rgb="FFDDD9C4"/>
      </patternFill>
    </fill>
    <fill>
      <patternFill patternType="solid">
        <fgColor rgb="FFF2F2F2"/>
        <bgColor rgb="FFF2F2F2"/>
      </patternFill>
    </fill>
    <fill>
      <patternFill patternType="solid">
        <fgColor rgb="FF92D050"/>
        <bgColor rgb="FF92D050"/>
      </patternFill>
    </fill>
    <fill>
      <patternFill patternType="solid">
        <fgColor rgb="FFFFFF00"/>
        <bgColor rgb="FFFFFF00"/>
      </patternFill>
    </fill>
    <fill>
      <patternFill patternType="solid">
        <fgColor rgb="FFFFF2CC"/>
        <bgColor rgb="FFFFF2CC"/>
      </patternFill>
    </fill>
    <fill>
      <patternFill patternType="solid">
        <fgColor rgb="FFECFDCA"/>
        <bgColor rgb="FFECFDCA"/>
      </patternFill>
    </fill>
    <fill>
      <patternFill patternType="solid">
        <fgColor rgb="FFEFEFEF"/>
        <bgColor rgb="FFEFEFEF"/>
      </patternFill>
    </fill>
    <fill>
      <patternFill patternType="solid">
        <fgColor rgb="FFFFE599"/>
        <bgColor rgb="FFFFE599"/>
      </patternFill>
    </fill>
    <fill>
      <patternFill patternType="solid">
        <fgColor rgb="FFF3F3F3"/>
        <bgColor rgb="FFF3F3F3"/>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hair">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hair">
        <color rgb="FF000000"/>
      </right>
      <top/>
      <bottom style="hair">
        <color rgb="FF000000"/>
      </bottom>
      <diagonal/>
    </border>
    <border>
      <left/>
      <right style="thin">
        <color rgb="FF000000"/>
      </right>
      <top/>
      <bottom style="hair">
        <color rgb="FF000000"/>
      </bottom>
      <diagonal/>
    </border>
    <border>
      <left style="thin">
        <color rgb="FF000000"/>
      </left>
      <right style="hair">
        <color rgb="FF000000"/>
      </right>
      <top/>
      <bottom/>
      <diagonal/>
    </border>
    <border>
      <left/>
      <right style="thin">
        <color rgb="FF000000"/>
      </right>
      <top/>
      <bottom/>
      <diagonal/>
    </border>
    <border>
      <left style="thin">
        <color rgb="FF000000"/>
      </left>
      <right style="hair">
        <color rgb="FF000000"/>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hair">
        <color rgb="FF000000"/>
      </bottom>
      <diagonal/>
    </border>
    <border>
      <left style="thin">
        <color rgb="FF000000"/>
      </left>
      <right style="hair">
        <color rgb="FF000000"/>
      </right>
      <top style="thin">
        <color rgb="FF000000"/>
      </top>
      <bottom style="hair">
        <color rgb="FF000000"/>
      </bottom>
      <diagonal/>
    </border>
    <border>
      <left/>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right style="hair">
        <color rgb="FF000000"/>
      </right>
      <top style="thin">
        <color rgb="FF000000"/>
      </top>
      <bottom style="hair">
        <color rgb="FF000000"/>
      </bottom>
      <diagonal/>
    </border>
    <border>
      <left style="thin">
        <color rgb="FF000000"/>
      </left>
      <right style="hair">
        <color rgb="FF000000"/>
      </right>
      <top/>
      <bottom style="thin">
        <color rgb="FF000000"/>
      </bottom>
      <diagonal/>
    </border>
    <border>
      <left/>
      <right style="hair">
        <color rgb="FF000000"/>
      </right>
      <top/>
      <bottom style="thin">
        <color rgb="FF000000"/>
      </bottom>
      <diagonal/>
    </border>
    <border>
      <left style="hair">
        <color rgb="FF000000"/>
      </left>
      <right style="hair">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right style="thin">
        <color rgb="FF000000"/>
      </right>
      <top style="thin">
        <color rgb="FF000000"/>
      </top>
      <bottom style="hair">
        <color rgb="FF000000"/>
      </bottom>
      <diagonal/>
    </border>
    <border>
      <left style="hair">
        <color rgb="FF000000"/>
      </left>
      <right style="hair">
        <color rgb="FF000000"/>
      </right>
      <top/>
      <bottom/>
      <diagonal/>
    </border>
    <border>
      <left style="thin">
        <color rgb="FF000000"/>
      </left>
      <right/>
      <top style="thin">
        <color rgb="FF000000"/>
      </top>
      <bottom style="hair">
        <color rgb="FF000000"/>
      </bottom>
      <diagonal/>
    </border>
    <border>
      <left/>
      <right style="hair">
        <color rgb="FF000000"/>
      </right>
      <top/>
      <bottom/>
      <diagonal/>
    </border>
  </borders>
  <cellStyleXfs count="3">
    <xf numFmtId="0" fontId="0" fillId="0" borderId="0"/>
    <xf numFmtId="0" fontId="2" fillId="0" borderId="0"/>
    <xf numFmtId="0" fontId="3" fillId="0" borderId="0"/>
  </cellStyleXfs>
  <cellXfs count="775">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pivotButton="1"/>
    <xf numFmtId="0" fontId="0" fillId="0" borderId="0" xfId="0" applyAlignment="1">
      <alignment horizontal="left"/>
    </xf>
    <xf numFmtId="0" fontId="0" fillId="0" borderId="0" xfId="0" applyAlignment="1">
      <alignment horizontal="left" indent="1"/>
    </xf>
    <xf numFmtId="164" fontId="0" fillId="0" borderId="0" xfId="0" applyNumberFormat="1"/>
    <xf numFmtId="2" fontId="0" fillId="0" borderId="0" xfId="0" applyNumberFormat="1" applyAlignment="1">
      <alignment vertical="center"/>
    </xf>
    <xf numFmtId="0" fontId="3" fillId="0" borderId="0" xfId="2"/>
    <xf numFmtId="0" fontId="4" fillId="2" borderId="1" xfId="2" applyFont="1" applyFill="1" applyBorder="1" applyAlignment="1">
      <alignment horizontal="left" wrapText="1"/>
    </xf>
    <xf numFmtId="0" fontId="4" fillId="2" borderId="1" xfId="2" applyFont="1" applyFill="1" applyBorder="1" applyAlignment="1">
      <alignment horizontal="left"/>
    </xf>
    <xf numFmtId="0" fontId="4" fillId="2" borderId="1" xfId="2" applyFont="1" applyFill="1" applyBorder="1" applyAlignment="1">
      <alignment horizontal="right"/>
    </xf>
    <xf numFmtId="0" fontId="5" fillId="2" borderId="1" xfId="2" applyFont="1" applyFill="1" applyBorder="1"/>
    <xf numFmtId="0" fontId="4" fillId="0" borderId="1" xfId="2" applyFont="1" applyBorder="1"/>
    <xf numFmtId="0" fontId="4" fillId="0" borderId="1" xfId="2" applyFont="1" applyBorder="1" applyAlignment="1">
      <alignment horizontal="left"/>
    </xf>
    <xf numFmtId="3" fontId="6" fillId="0" borderId="1" xfId="2" applyNumberFormat="1" applyFont="1" applyBorder="1" applyAlignment="1">
      <alignment horizontal="right"/>
    </xf>
    <xf numFmtId="10" fontId="4" fillId="0" borderId="0" xfId="2" applyNumberFormat="1" applyFont="1"/>
    <xf numFmtId="0" fontId="4" fillId="0" borderId="0" xfId="2" applyFont="1" applyAlignment="1">
      <alignment horizontal="left"/>
    </xf>
    <xf numFmtId="0" fontId="7" fillId="0" borderId="0" xfId="2" applyFont="1"/>
    <xf numFmtId="0" fontId="4" fillId="0" borderId="0" xfId="2" applyFont="1"/>
    <xf numFmtId="0" fontId="6" fillId="0" borderId="0" xfId="2" applyFont="1" applyAlignment="1">
      <alignment horizontal="right"/>
    </xf>
    <xf numFmtId="0" fontId="8" fillId="0" borderId="0" xfId="2" applyFont="1" applyAlignment="1">
      <alignment horizontal="center"/>
    </xf>
    <xf numFmtId="0" fontId="6" fillId="0" borderId="1" xfId="2" applyFont="1" applyBorder="1" applyAlignment="1">
      <alignment horizontal="right"/>
    </xf>
    <xf numFmtId="0" fontId="6" fillId="0" borderId="0" xfId="2" applyFont="1" applyAlignment="1">
      <alignment horizontal="left"/>
    </xf>
    <xf numFmtId="0" fontId="4" fillId="0" borderId="0" xfId="2" applyFont="1" applyAlignment="1">
      <alignment horizontal="right"/>
    </xf>
    <xf numFmtId="0" fontId="6" fillId="0" borderId="1" xfId="2" applyFont="1" applyBorder="1"/>
    <xf numFmtId="0" fontId="6" fillId="0" borderId="1" xfId="2" applyFont="1" applyBorder="1" applyAlignment="1">
      <alignment horizontal="left"/>
    </xf>
    <xf numFmtId="0" fontId="6" fillId="0" borderId="0" xfId="2" applyFont="1"/>
    <xf numFmtId="1" fontId="6" fillId="0" borderId="0" xfId="2" applyNumberFormat="1" applyFont="1" applyAlignment="1">
      <alignment horizontal="right"/>
    </xf>
    <xf numFmtId="1" fontId="8" fillId="0" borderId="0" xfId="2" applyNumberFormat="1" applyFont="1" applyAlignment="1">
      <alignment horizontal="right"/>
    </xf>
    <xf numFmtId="1" fontId="9" fillId="0" borderId="0" xfId="2" applyNumberFormat="1" applyFont="1" applyAlignment="1">
      <alignment horizontal="right"/>
    </xf>
    <xf numFmtId="0" fontId="6" fillId="0" borderId="2" xfId="2" applyFont="1" applyBorder="1" applyAlignment="1">
      <alignment horizontal="right"/>
    </xf>
    <xf numFmtId="0" fontId="7" fillId="0" borderId="0" xfId="2" applyFont="1" applyAlignment="1">
      <alignment horizontal="left"/>
    </xf>
    <xf numFmtId="0" fontId="4" fillId="0" borderId="0" xfId="2" applyFont="1" applyAlignment="1">
      <alignment horizontal="center"/>
    </xf>
    <xf numFmtId="165" fontId="6" fillId="0" borderId="1" xfId="2" applyNumberFormat="1" applyFont="1" applyBorder="1" applyAlignment="1">
      <alignment horizontal="right"/>
    </xf>
    <xf numFmtId="0" fontId="4" fillId="2" borderId="3" xfId="2" applyFont="1" applyFill="1" applyBorder="1" applyAlignment="1">
      <alignment horizontal="left"/>
    </xf>
    <xf numFmtId="0" fontId="4" fillId="2" borderId="4" xfId="2" applyFont="1" applyFill="1" applyBorder="1" applyAlignment="1">
      <alignment horizontal="left"/>
    </xf>
    <xf numFmtId="0" fontId="4" fillId="0" borderId="5" xfId="2" applyFont="1" applyBorder="1" applyAlignment="1">
      <alignment horizontal="right"/>
    </xf>
    <xf numFmtId="0" fontId="4" fillId="0" borderId="6" xfId="2" applyFont="1" applyBorder="1" applyAlignment="1">
      <alignment horizontal="left"/>
    </xf>
    <xf numFmtId="0" fontId="4" fillId="0" borderId="3" xfId="2" applyFont="1" applyBorder="1" applyAlignment="1">
      <alignment horizontal="left"/>
    </xf>
    <xf numFmtId="0" fontId="6" fillId="0" borderId="4" xfId="2" applyFont="1" applyBorder="1" applyAlignment="1">
      <alignment horizontal="left"/>
    </xf>
    <xf numFmtId="0" fontId="4" fillId="2" borderId="3" xfId="2" applyFont="1" applyFill="1" applyBorder="1" applyAlignment="1">
      <alignment horizontal="center"/>
    </xf>
    <xf numFmtId="0" fontId="6" fillId="0" borderId="7" xfId="2" applyFont="1" applyBorder="1" applyAlignment="1">
      <alignment horizontal="left"/>
    </xf>
    <xf numFmtId="0" fontId="6" fillId="0" borderId="8" xfId="2" applyFont="1" applyBorder="1" applyAlignment="1">
      <alignment horizontal="center"/>
    </xf>
    <xf numFmtId="0" fontId="6" fillId="0" borderId="9" xfId="2" applyFont="1" applyBorder="1" applyAlignment="1">
      <alignment horizontal="left"/>
    </xf>
    <xf numFmtId="0" fontId="6" fillId="0" borderId="10" xfId="2" applyFont="1" applyBorder="1" applyAlignment="1">
      <alignment horizontal="center"/>
    </xf>
    <xf numFmtId="0" fontId="6" fillId="0" borderId="11" xfId="2" applyFont="1" applyBorder="1" applyAlignment="1">
      <alignment horizontal="left"/>
    </xf>
    <xf numFmtId="0" fontId="6" fillId="0" borderId="12" xfId="2" applyFont="1" applyBorder="1" applyAlignment="1">
      <alignment horizontal="center"/>
    </xf>
    <xf numFmtId="0" fontId="6" fillId="0" borderId="13" xfId="2" applyFont="1" applyBorder="1" applyAlignment="1">
      <alignment horizontal="left"/>
    </xf>
    <xf numFmtId="0" fontId="6" fillId="0" borderId="14" xfId="2" applyFont="1" applyBorder="1" applyAlignment="1">
      <alignment horizontal="center"/>
    </xf>
    <xf numFmtId="0" fontId="4" fillId="2" borderId="1" xfId="2" applyFont="1" applyFill="1" applyBorder="1" applyAlignment="1">
      <alignment horizontal="center"/>
    </xf>
    <xf numFmtId="0" fontId="4" fillId="2" borderId="1" xfId="2" applyFont="1" applyFill="1" applyBorder="1" applyAlignment="1">
      <alignment horizontal="center" wrapText="1"/>
    </xf>
    <xf numFmtId="167" fontId="6" fillId="0" borderId="1" xfId="2" applyNumberFormat="1" applyFont="1" applyBorder="1" applyAlignment="1">
      <alignment horizontal="center"/>
    </xf>
    <xf numFmtId="0" fontId="5" fillId="0" borderId="0" xfId="2" applyFont="1"/>
    <xf numFmtId="0" fontId="9" fillId="0" borderId="0" xfId="2" applyFont="1"/>
    <xf numFmtId="9" fontId="9" fillId="0" borderId="1" xfId="2" applyNumberFormat="1" applyFont="1" applyBorder="1"/>
    <xf numFmtId="0" fontId="4" fillId="0" borderId="1" xfId="2" applyFont="1" applyBorder="1" applyAlignment="1">
      <alignment wrapText="1"/>
    </xf>
    <xf numFmtId="168" fontId="9" fillId="0" borderId="1" xfId="2" applyNumberFormat="1" applyFont="1" applyBorder="1"/>
    <xf numFmtId="0" fontId="4" fillId="2" borderId="1" xfId="2" applyFont="1" applyFill="1" applyBorder="1" applyAlignment="1">
      <alignment wrapText="1"/>
    </xf>
    <xf numFmtId="0" fontId="4" fillId="2" borderId="1" xfId="2" applyFont="1" applyFill="1" applyBorder="1"/>
    <xf numFmtId="0" fontId="5" fillId="2" borderId="0" xfId="2" applyFont="1" applyFill="1"/>
    <xf numFmtId="10" fontId="6" fillId="0" borderId="1" xfId="2" applyNumberFormat="1" applyFont="1" applyBorder="1"/>
    <xf numFmtId="9" fontId="9" fillId="0" borderId="0" xfId="2" applyNumberFormat="1" applyFont="1"/>
    <xf numFmtId="164" fontId="6" fillId="0" borderId="1" xfId="2" applyNumberFormat="1" applyFont="1" applyBorder="1" applyAlignment="1">
      <alignment horizontal="center"/>
    </xf>
    <xf numFmtId="0" fontId="11" fillId="2" borderId="1" xfId="2" applyFont="1" applyFill="1" applyBorder="1" applyAlignment="1">
      <alignment horizontal="center"/>
    </xf>
    <xf numFmtId="0" fontId="6" fillId="0" borderId="1" xfId="2" applyFont="1" applyBorder="1" applyAlignment="1">
      <alignment horizontal="center"/>
    </xf>
    <xf numFmtId="0" fontId="12" fillId="4" borderId="0" xfId="2" applyFont="1" applyFill="1"/>
    <xf numFmtId="169" fontId="6" fillId="0" borderId="0" xfId="2" applyNumberFormat="1" applyFont="1"/>
    <xf numFmtId="169" fontId="13" fillId="0" borderId="0" xfId="2" applyNumberFormat="1" applyFont="1"/>
    <xf numFmtId="0" fontId="14" fillId="4" borderId="0" xfId="2" applyFont="1" applyFill="1" applyAlignment="1">
      <alignment horizontal="left"/>
    </xf>
    <xf numFmtId="0" fontId="9" fillId="0" borderId="0" xfId="2" applyFont="1" applyAlignment="1">
      <alignment horizontal="left"/>
    </xf>
    <xf numFmtId="2" fontId="13" fillId="0" borderId="0" xfId="2" applyNumberFormat="1" applyFont="1"/>
    <xf numFmtId="0" fontId="14" fillId="0" borderId="0" xfId="2" applyFont="1" applyAlignment="1">
      <alignment horizontal="left"/>
    </xf>
    <xf numFmtId="2" fontId="9" fillId="0" borderId="1" xfId="2" applyNumberFormat="1" applyFont="1" applyBorder="1"/>
    <xf numFmtId="10" fontId="9" fillId="0" borderId="0" xfId="2" applyNumberFormat="1" applyFont="1"/>
    <xf numFmtId="10" fontId="9" fillId="0" borderId="1" xfId="2" applyNumberFormat="1" applyFont="1" applyBorder="1"/>
    <xf numFmtId="4" fontId="9" fillId="0" borderId="1" xfId="2" applyNumberFormat="1" applyFont="1" applyBorder="1"/>
    <xf numFmtId="0" fontId="9" fillId="0" borderId="1" xfId="2" applyFont="1" applyBorder="1"/>
    <xf numFmtId="2" fontId="6" fillId="0" borderId="1" xfId="2" applyNumberFormat="1" applyFont="1" applyBorder="1" applyAlignment="1">
      <alignment horizontal="right"/>
    </xf>
    <xf numFmtId="0" fontId="4" fillId="0" borderId="1" xfId="2" applyFont="1" applyBorder="1" applyAlignment="1">
      <alignment horizontal="right"/>
    </xf>
    <xf numFmtId="0" fontId="4" fillId="0" borderId="20" xfId="2" applyFont="1" applyBorder="1" applyAlignment="1">
      <alignment horizontal="right"/>
    </xf>
    <xf numFmtId="0" fontId="4" fillId="2" borderId="17" xfId="2" applyFont="1" applyFill="1" applyBorder="1"/>
    <xf numFmtId="0" fontId="4" fillId="0" borderId="19" xfId="2" applyFont="1" applyBorder="1" applyAlignment="1">
      <alignment horizontal="right"/>
    </xf>
    <xf numFmtId="170" fontId="6" fillId="0" borderId="1" xfId="2" applyNumberFormat="1" applyFont="1" applyBorder="1" applyAlignment="1">
      <alignment horizontal="right"/>
    </xf>
    <xf numFmtId="2" fontId="6" fillId="0" borderId="1" xfId="2" applyNumberFormat="1" applyFont="1" applyBorder="1"/>
    <xf numFmtId="0" fontId="15" fillId="0" borderId="0" xfId="2" applyFont="1" applyAlignment="1">
      <alignment vertical="center"/>
    </xf>
    <xf numFmtId="0" fontId="16" fillId="0" borderId="0" xfId="2" applyFont="1" applyAlignment="1">
      <alignment vertical="center"/>
    </xf>
    <xf numFmtId="0" fontId="16" fillId="0" borderId="0" xfId="2" applyFont="1" applyAlignment="1">
      <alignment vertical="center" wrapText="1"/>
    </xf>
    <xf numFmtId="0" fontId="15" fillId="0" borderId="0" xfId="2" applyFont="1" applyAlignment="1">
      <alignment horizontal="center" vertical="center"/>
    </xf>
    <xf numFmtId="0" fontId="16" fillId="5" borderId="1" xfId="2" applyFont="1" applyFill="1" applyBorder="1" applyAlignment="1">
      <alignment horizontal="center" vertical="center"/>
    </xf>
    <xf numFmtId="0" fontId="16" fillId="5" borderId="1" xfId="2" applyFont="1" applyFill="1" applyBorder="1" applyAlignment="1">
      <alignment horizontal="center" vertical="center" wrapText="1"/>
    </xf>
    <xf numFmtId="0" fontId="15" fillId="0" borderId="17" xfId="2" applyFont="1" applyBorder="1" applyAlignment="1">
      <alignment vertical="center"/>
    </xf>
    <xf numFmtId="3" fontId="15" fillId="0" borderId="17" xfId="2" applyNumberFormat="1" applyFont="1" applyBorder="1" applyAlignment="1">
      <alignment vertical="center"/>
    </xf>
    <xf numFmtId="0" fontId="15" fillId="0" borderId="18" xfId="2" applyFont="1" applyBorder="1" applyAlignment="1">
      <alignment vertical="center"/>
    </xf>
    <xf numFmtId="3" fontId="15" fillId="0" borderId="18" xfId="2" applyNumberFormat="1" applyFont="1" applyBorder="1" applyAlignment="1">
      <alignment horizontal="right" vertical="center"/>
    </xf>
    <xf numFmtId="3" fontId="15" fillId="0" borderId="0" xfId="2" applyNumberFormat="1" applyFont="1" applyAlignment="1">
      <alignment horizontal="right" vertical="center"/>
    </xf>
    <xf numFmtId="0" fontId="15" fillId="0" borderId="18" xfId="2" applyFont="1" applyBorder="1" applyAlignment="1">
      <alignment horizontal="right" vertical="center"/>
    </xf>
    <xf numFmtId="1" fontId="15" fillId="0" borderId="18" xfId="2" applyNumberFormat="1" applyFont="1" applyBorder="1" applyAlignment="1">
      <alignment horizontal="right" vertical="center"/>
    </xf>
    <xf numFmtId="3" fontId="15" fillId="0" borderId="18" xfId="2" applyNumberFormat="1" applyFont="1" applyBorder="1" applyAlignment="1">
      <alignment vertical="center"/>
    </xf>
    <xf numFmtId="0" fontId="15" fillId="6" borderId="17" xfId="2" applyFont="1" applyFill="1" applyBorder="1" applyAlignment="1">
      <alignment vertical="center"/>
    </xf>
    <xf numFmtId="10" fontId="15" fillId="6" borderId="17" xfId="2" applyNumberFormat="1" applyFont="1" applyFill="1" applyBorder="1" applyAlignment="1">
      <alignment vertical="center"/>
    </xf>
    <xf numFmtId="0" fontId="15" fillId="6" borderId="19" xfId="2" applyFont="1" applyFill="1" applyBorder="1" applyAlignment="1">
      <alignment vertical="center"/>
    </xf>
    <xf numFmtId="10" fontId="15" fillId="6" borderId="19" xfId="2" applyNumberFormat="1" applyFont="1" applyFill="1" applyBorder="1" applyAlignment="1">
      <alignment vertical="center"/>
    </xf>
    <xf numFmtId="0" fontId="17" fillId="0" borderId="0" xfId="2" applyFont="1" applyAlignment="1">
      <alignment vertical="center"/>
    </xf>
    <xf numFmtId="9" fontId="15" fillId="0" borderId="0" xfId="2" applyNumberFormat="1" applyFont="1" applyAlignment="1">
      <alignment vertical="center"/>
    </xf>
    <xf numFmtId="0" fontId="18" fillId="0" borderId="0" xfId="2" applyFont="1" applyAlignment="1">
      <alignment horizontal="left" vertical="center"/>
    </xf>
    <xf numFmtId="0" fontId="19" fillId="0" borderId="0" xfId="2" applyFont="1" applyAlignment="1">
      <alignment vertical="center"/>
    </xf>
    <xf numFmtId="0" fontId="20" fillId="0" borderId="0" xfId="2" applyFont="1" applyAlignment="1">
      <alignment vertical="center"/>
    </xf>
    <xf numFmtId="0" fontId="21" fillId="0" borderId="0" xfId="2" applyFont="1"/>
    <xf numFmtId="0" fontId="22" fillId="2" borderId="12" xfId="2" applyFont="1" applyFill="1" applyBorder="1"/>
    <xf numFmtId="0" fontId="11" fillId="2" borderId="18" xfId="2" applyFont="1" applyFill="1" applyBorder="1"/>
    <xf numFmtId="0" fontId="22" fillId="2" borderId="18" xfId="2" applyFont="1" applyFill="1" applyBorder="1"/>
    <xf numFmtId="0" fontId="23" fillId="0" borderId="2" xfId="2" applyFont="1" applyBorder="1"/>
    <xf numFmtId="0" fontId="24" fillId="4" borderId="1" xfId="2" applyFont="1" applyFill="1" applyBorder="1" applyAlignment="1">
      <alignment horizontal="right"/>
    </xf>
    <xf numFmtId="0" fontId="25" fillId="4" borderId="16" xfId="2" applyFont="1" applyFill="1" applyBorder="1" applyAlignment="1">
      <alignment horizontal="right"/>
    </xf>
    <xf numFmtId="0" fontId="23" fillId="0" borderId="16" xfId="2" applyFont="1" applyBorder="1" applyAlignment="1">
      <alignment horizontal="right"/>
    </xf>
    <xf numFmtId="0" fontId="24" fillId="4" borderId="16" xfId="2" applyFont="1" applyFill="1" applyBorder="1" applyAlignment="1">
      <alignment horizontal="right"/>
    </xf>
    <xf numFmtId="0" fontId="28" fillId="0" borderId="0" xfId="2" applyFont="1"/>
    <xf numFmtId="0" fontId="23" fillId="0" borderId="0" xfId="2" applyFont="1"/>
    <xf numFmtId="0" fontId="22" fillId="2" borderId="1" xfId="2" applyFont="1" applyFill="1" applyBorder="1" applyAlignment="1">
      <alignment horizontal="center"/>
    </xf>
    <xf numFmtId="0" fontId="22" fillId="2" borderId="1" xfId="2" applyFont="1" applyFill="1" applyBorder="1"/>
    <xf numFmtId="0" fontId="30" fillId="0" borderId="1" xfId="2" applyFont="1" applyBorder="1"/>
    <xf numFmtId="0" fontId="25" fillId="0" borderId="0" xfId="2" applyFont="1" applyAlignment="1">
      <alignment horizontal="left" wrapText="1"/>
    </xf>
    <xf numFmtId="0" fontId="22" fillId="6" borderId="1" xfId="2" applyFont="1" applyFill="1" applyBorder="1" applyAlignment="1">
      <alignment horizontal="center"/>
    </xf>
    <xf numFmtId="0" fontId="22" fillId="0" borderId="0" xfId="2" applyFont="1" applyAlignment="1">
      <alignment horizontal="center"/>
    </xf>
    <xf numFmtId="0" fontId="22" fillId="0" borderId="1" xfId="2" applyFont="1" applyBorder="1" applyAlignment="1">
      <alignment horizontal="center"/>
    </xf>
    <xf numFmtId="0" fontId="23" fillId="0" borderId="1" xfId="2" applyFont="1" applyBorder="1" applyAlignment="1">
      <alignment horizontal="center"/>
    </xf>
    <xf numFmtId="0" fontId="34" fillId="0" borderId="1" xfId="2" applyFont="1" applyBorder="1" applyAlignment="1">
      <alignment horizontal="right"/>
    </xf>
    <xf numFmtId="0" fontId="34" fillId="0" borderId="1" xfId="2" applyFont="1" applyBorder="1"/>
    <xf numFmtId="0" fontId="23" fillId="0" borderId="0" xfId="2" applyFont="1" applyAlignment="1">
      <alignment horizontal="center"/>
    </xf>
    <xf numFmtId="0" fontId="9" fillId="0" borderId="0" xfId="2" applyFont="1" applyAlignment="1">
      <alignment wrapText="1"/>
    </xf>
    <xf numFmtId="167" fontId="23" fillId="0" borderId="1" xfId="2" applyNumberFormat="1" applyFont="1" applyBorder="1" applyAlignment="1">
      <alignment wrapText="1"/>
    </xf>
    <xf numFmtId="10" fontId="23" fillId="0" borderId="1" xfId="2" applyNumberFormat="1" applyFont="1" applyBorder="1" applyAlignment="1">
      <alignment wrapText="1"/>
    </xf>
    <xf numFmtId="10" fontId="23" fillId="0" borderId="1" xfId="2" applyNumberFormat="1" applyFont="1" applyBorder="1" applyAlignment="1">
      <alignment horizontal="center" wrapText="1"/>
    </xf>
    <xf numFmtId="0" fontId="23" fillId="0" borderId="0" xfId="2" applyFont="1" applyAlignment="1">
      <alignment wrapText="1"/>
    </xf>
    <xf numFmtId="0" fontId="23" fillId="0" borderId="0" xfId="2" applyFont="1" applyAlignment="1">
      <alignment horizontal="center" wrapText="1"/>
    </xf>
    <xf numFmtId="0" fontId="23" fillId="2" borderId="0" xfId="2" applyFont="1" applyFill="1" applyAlignment="1">
      <alignment wrapText="1"/>
    </xf>
    <xf numFmtId="0" fontId="23" fillId="2" borderId="0" xfId="2" applyFont="1" applyFill="1" applyAlignment="1">
      <alignment horizontal="center" wrapText="1"/>
    </xf>
    <xf numFmtId="10" fontId="25" fillId="0" borderId="0" xfId="2" applyNumberFormat="1" applyFont="1" applyAlignment="1">
      <alignment horizontal="right"/>
    </xf>
    <xf numFmtId="4" fontId="25" fillId="0" borderId="0" xfId="2" applyNumberFormat="1" applyFont="1" applyAlignment="1">
      <alignment horizontal="right"/>
    </xf>
    <xf numFmtId="10" fontId="21" fillId="0" borderId="0" xfId="2" applyNumberFormat="1" applyFont="1"/>
    <xf numFmtId="168" fontId="21" fillId="0" borderId="0" xfId="2" applyNumberFormat="1" applyFont="1"/>
    <xf numFmtId="0" fontId="5" fillId="0" borderId="1" xfId="2" applyFont="1" applyBorder="1" applyAlignment="1">
      <alignment horizontal="right"/>
    </xf>
    <xf numFmtId="0" fontId="9" fillId="0" borderId="12" xfId="2" applyFont="1" applyBorder="1"/>
    <xf numFmtId="0" fontId="4" fillId="6" borderId="6" xfId="2" applyFont="1" applyFill="1" applyBorder="1" applyAlignment="1">
      <alignment horizontal="left" wrapText="1"/>
    </xf>
    <xf numFmtId="0" fontId="5" fillId="6" borderId="6" xfId="2" applyFont="1" applyFill="1" applyBorder="1" applyAlignment="1">
      <alignment horizontal="left"/>
    </xf>
    <xf numFmtId="0" fontId="6" fillId="0" borderId="6" xfId="2" applyFont="1" applyBorder="1"/>
    <xf numFmtId="10" fontId="6" fillId="0" borderId="6" xfId="2" applyNumberFormat="1" applyFont="1" applyBorder="1" applyAlignment="1">
      <alignment horizontal="center"/>
    </xf>
    <xf numFmtId="167" fontId="6" fillId="0" borderId="6" xfId="2" applyNumberFormat="1" applyFont="1" applyBorder="1" applyAlignment="1">
      <alignment horizontal="center"/>
    </xf>
    <xf numFmtId="0" fontId="9" fillId="0" borderId="6" xfId="2" applyFont="1" applyBorder="1" applyAlignment="1">
      <alignment horizontal="right"/>
    </xf>
    <xf numFmtId="0" fontId="5" fillId="0" borderId="1" xfId="2" applyFont="1" applyBorder="1"/>
    <xf numFmtId="0" fontId="9" fillId="0" borderId="22" xfId="2" applyFont="1" applyBorder="1"/>
    <xf numFmtId="0" fontId="4" fillId="6" borderId="1" xfId="2" applyFont="1" applyFill="1" applyBorder="1" applyAlignment="1">
      <alignment wrapText="1"/>
    </xf>
    <xf numFmtId="0" fontId="5" fillId="6" borderId="1" xfId="2" applyFont="1" applyFill="1" applyBorder="1" applyAlignment="1">
      <alignment horizontal="right"/>
    </xf>
    <xf numFmtId="0" fontId="5" fillId="6" borderId="1" xfId="2" applyFont="1" applyFill="1" applyBorder="1"/>
    <xf numFmtId="167" fontId="9" fillId="0" borderId="1" xfId="2" applyNumberFormat="1" applyFont="1" applyBorder="1" applyAlignment="1">
      <alignment horizontal="right"/>
    </xf>
    <xf numFmtId="10" fontId="9" fillId="0" borderId="1" xfId="2" applyNumberFormat="1" applyFont="1" applyBorder="1" applyAlignment="1">
      <alignment horizontal="right"/>
    </xf>
    <xf numFmtId="10" fontId="9" fillId="3" borderId="1" xfId="2" applyNumberFormat="1" applyFont="1" applyFill="1" applyBorder="1" applyAlignment="1">
      <alignment horizontal="right"/>
    </xf>
    <xf numFmtId="167" fontId="9" fillId="3" borderId="1" xfId="2" applyNumberFormat="1" applyFont="1" applyFill="1" applyBorder="1" applyAlignment="1">
      <alignment horizontal="right"/>
    </xf>
    <xf numFmtId="167" fontId="9" fillId="3" borderId="2" xfId="2" applyNumberFormat="1" applyFont="1" applyFill="1" applyBorder="1" applyAlignment="1">
      <alignment horizontal="right"/>
    </xf>
    <xf numFmtId="167" fontId="9" fillId="0" borderId="0" xfId="2" applyNumberFormat="1" applyFont="1" applyAlignment="1">
      <alignment horizontal="right"/>
    </xf>
    <xf numFmtId="0" fontId="18" fillId="0" borderId="0" xfId="2" applyFont="1"/>
    <xf numFmtId="0" fontId="18" fillId="0" borderId="0" xfId="2" applyFont="1" applyAlignment="1">
      <alignment wrapText="1"/>
    </xf>
    <xf numFmtId="0" fontId="34" fillId="0" borderId="0" xfId="2" applyFont="1"/>
    <xf numFmtId="10" fontId="34" fillId="0" borderId="0" xfId="2" applyNumberFormat="1" applyFont="1" applyAlignment="1">
      <alignment horizontal="right"/>
    </xf>
    <xf numFmtId="0" fontId="25" fillId="0" borderId="0" xfId="2" applyFont="1" applyAlignment="1">
      <alignment horizontal="left" vertical="top"/>
    </xf>
    <xf numFmtId="9" fontId="34" fillId="0" borderId="0" xfId="2" applyNumberFormat="1" applyFont="1" applyAlignment="1">
      <alignment horizontal="right"/>
    </xf>
    <xf numFmtId="0" fontId="34" fillId="0" borderId="0" xfId="2" applyFont="1" applyAlignment="1">
      <alignment horizontal="right"/>
    </xf>
    <xf numFmtId="167" fontId="9" fillId="0" borderId="0" xfId="2" applyNumberFormat="1" applyFont="1"/>
    <xf numFmtId="10" fontId="34" fillId="0" borderId="0" xfId="2" applyNumberFormat="1" applyFont="1"/>
    <xf numFmtId="0" fontId="35" fillId="0" borderId="0" xfId="2" applyFont="1" applyAlignment="1">
      <alignment horizontal="right"/>
    </xf>
    <xf numFmtId="0" fontId="37" fillId="0" borderId="0" xfId="2" applyFont="1"/>
    <xf numFmtId="171" fontId="5" fillId="0" borderId="0" xfId="2" applyNumberFormat="1" applyFont="1"/>
    <xf numFmtId="10" fontId="5" fillId="0" borderId="1" xfId="2" applyNumberFormat="1" applyFont="1" applyBorder="1"/>
    <xf numFmtId="0" fontId="18" fillId="0" borderId="1" xfId="2" applyFont="1" applyBorder="1"/>
    <xf numFmtId="0" fontId="18" fillId="0" borderId="16" xfId="2" applyFont="1" applyBorder="1"/>
    <xf numFmtId="0" fontId="18" fillId="0" borderId="1" xfId="2" applyFont="1" applyBorder="1" applyAlignment="1">
      <alignment wrapText="1"/>
    </xf>
    <xf numFmtId="0" fontId="34" fillId="0" borderId="19" xfId="2" applyFont="1" applyBorder="1"/>
    <xf numFmtId="10" fontId="34" fillId="0" borderId="6" xfId="2" applyNumberFormat="1" applyFont="1" applyBorder="1" applyAlignment="1">
      <alignment horizontal="right"/>
    </xf>
    <xf numFmtId="10" fontId="34" fillId="0" borderId="1" xfId="2" applyNumberFormat="1" applyFont="1" applyBorder="1" applyAlignment="1">
      <alignment horizontal="right"/>
    </xf>
    <xf numFmtId="9" fontId="34" fillId="0" borderId="6" xfId="2" applyNumberFormat="1" applyFont="1" applyBorder="1" applyAlignment="1">
      <alignment horizontal="right"/>
    </xf>
    <xf numFmtId="167" fontId="9" fillId="0" borderId="1" xfId="2" applyNumberFormat="1" applyFont="1" applyBorder="1"/>
    <xf numFmtId="10" fontId="34" fillId="0" borderId="1" xfId="2" applyNumberFormat="1" applyFont="1" applyBorder="1"/>
    <xf numFmtId="0" fontId="38" fillId="0" borderId="0" xfId="2" applyFont="1"/>
    <xf numFmtId="0" fontId="39" fillId="0" borderId="0" xfId="2" applyFont="1"/>
    <xf numFmtId="0" fontId="25" fillId="0" borderId="1" xfId="2" applyFont="1" applyBorder="1" applyAlignment="1">
      <alignment horizontal="center"/>
    </xf>
    <xf numFmtId="0" fontId="15" fillId="0" borderId="1" xfId="2" applyFont="1" applyBorder="1" applyAlignment="1">
      <alignment horizontal="right"/>
    </xf>
    <xf numFmtId="0" fontId="15" fillId="0" borderId="1" xfId="2" applyFont="1" applyBorder="1"/>
    <xf numFmtId="4" fontId="25" fillId="0" borderId="1" xfId="2" applyNumberFormat="1" applyFont="1" applyBorder="1" applyAlignment="1">
      <alignment horizontal="right" wrapText="1"/>
    </xf>
    <xf numFmtId="4" fontId="25" fillId="0" borderId="1" xfId="2" applyNumberFormat="1" applyFont="1" applyBorder="1" applyAlignment="1">
      <alignment horizontal="center" wrapText="1"/>
    </xf>
    <xf numFmtId="0" fontId="25" fillId="0" borderId="6" xfId="2" applyFont="1" applyBorder="1" applyAlignment="1">
      <alignment horizontal="center"/>
    </xf>
    <xf numFmtId="0" fontId="15" fillId="0" borderId="6" xfId="2" applyFont="1" applyBorder="1" applyAlignment="1">
      <alignment horizontal="right"/>
    </xf>
    <xf numFmtId="0" fontId="15" fillId="0" borderId="6" xfId="2" applyFont="1" applyBorder="1"/>
    <xf numFmtId="0" fontId="9" fillId="0" borderId="6" xfId="2" applyFont="1" applyBorder="1"/>
    <xf numFmtId="167" fontId="25" fillId="0" borderId="6" xfId="2" applyNumberFormat="1" applyFont="1" applyBorder="1" applyAlignment="1">
      <alignment horizontal="right" wrapText="1"/>
    </xf>
    <xf numFmtId="10" fontId="25" fillId="0" borderId="6" xfId="2" applyNumberFormat="1" applyFont="1" applyBorder="1" applyAlignment="1">
      <alignment horizontal="right" wrapText="1"/>
    </xf>
    <xf numFmtId="10" fontId="25" fillId="0" borderId="6" xfId="2" applyNumberFormat="1" applyFont="1" applyBorder="1" applyAlignment="1">
      <alignment horizontal="center" wrapText="1"/>
    </xf>
    <xf numFmtId="0" fontId="5" fillId="0" borderId="22" xfId="2" applyFont="1" applyBorder="1"/>
    <xf numFmtId="0" fontId="16" fillId="0" borderId="6" xfId="2" applyFont="1" applyBorder="1"/>
    <xf numFmtId="0" fontId="16" fillId="0" borderId="22" xfId="2" applyFont="1" applyBorder="1"/>
    <xf numFmtId="0" fontId="16" fillId="0" borderId="6" xfId="2" applyFont="1" applyBorder="1" applyAlignment="1">
      <alignment wrapText="1"/>
    </xf>
    <xf numFmtId="10" fontId="15" fillId="0" borderId="6" xfId="2" applyNumberFormat="1" applyFont="1" applyBorder="1" applyAlignment="1">
      <alignment horizontal="right"/>
    </xf>
    <xf numFmtId="0" fontId="9" fillId="0" borderId="12" xfId="2" applyFont="1" applyBorder="1" applyAlignment="1">
      <alignment vertical="top"/>
    </xf>
    <xf numFmtId="0" fontId="9" fillId="0" borderId="0" xfId="2" applyFont="1" applyAlignment="1">
      <alignment vertical="top"/>
    </xf>
    <xf numFmtId="9" fontId="15" fillId="0" borderId="6" xfId="2" applyNumberFormat="1" applyFont="1" applyBorder="1" applyAlignment="1">
      <alignment horizontal="right"/>
    </xf>
    <xf numFmtId="167" fontId="9" fillId="0" borderId="6" xfId="2" applyNumberFormat="1" applyFont="1" applyBorder="1" applyAlignment="1">
      <alignment horizontal="right"/>
    </xf>
    <xf numFmtId="10" fontId="9" fillId="0" borderId="6" xfId="2" applyNumberFormat="1" applyFont="1" applyBorder="1" applyAlignment="1">
      <alignment horizontal="right"/>
    </xf>
    <xf numFmtId="0" fontId="15" fillId="0" borderId="0" xfId="2" applyFont="1"/>
    <xf numFmtId="10" fontId="15" fillId="0" borderId="0" xfId="2" applyNumberFormat="1" applyFont="1" applyAlignment="1">
      <alignment horizontal="right"/>
    </xf>
    <xf numFmtId="0" fontId="16" fillId="0" borderId="0" xfId="2" applyFont="1"/>
    <xf numFmtId="0" fontId="40" fillId="0" borderId="0" xfId="2" applyFont="1"/>
    <xf numFmtId="0" fontId="22" fillId="2" borderId="1" xfId="2" applyFont="1" applyFill="1" applyBorder="1" applyAlignment="1">
      <alignment horizontal="left" vertical="top" wrapText="1"/>
    </xf>
    <xf numFmtId="0" fontId="22" fillId="2" borderId="1" xfId="2" applyFont="1" applyFill="1" applyBorder="1" applyAlignment="1">
      <alignment horizontal="center" vertical="top" wrapText="1"/>
    </xf>
    <xf numFmtId="0" fontId="23" fillId="0" borderId="1" xfId="2" applyFont="1" applyBorder="1"/>
    <xf numFmtId="10" fontId="15" fillId="0" borderId="1" xfId="2" applyNumberFormat="1" applyFont="1" applyBorder="1" applyAlignment="1">
      <alignment horizontal="right"/>
    </xf>
    <xf numFmtId="10" fontId="15" fillId="0" borderId="1" xfId="2" applyNumberFormat="1" applyFont="1" applyBorder="1" applyAlignment="1">
      <alignment horizontal="center"/>
    </xf>
    <xf numFmtId="9" fontId="15" fillId="0" borderId="1" xfId="2" applyNumberFormat="1" applyFont="1" applyBorder="1"/>
    <xf numFmtId="9" fontId="15" fillId="0" borderId="1" xfId="2" applyNumberFormat="1" applyFont="1" applyBorder="1" applyAlignment="1">
      <alignment horizontal="center"/>
    </xf>
    <xf numFmtId="0" fontId="10" fillId="0" borderId="0" xfId="2" applyFont="1"/>
    <xf numFmtId="0" fontId="4" fillId="2" borderId="16" xfId="2" applyFont="1" applyFill="1" applyBorder="1" applyAlignment="1">
      <alignment horizontal="center" wrapText="1"/>
    </xf>
    <xf numFmtId="167" fontId="6" fillId="0" borderId="16" xfId="2" applyNumberFormat="1" applyFont="1" applyBorder="1" applyAlignment="1">
      <alignment horizontal="center"/>
    </xf>
    <xf numFmtId="9" fontId="9" fillId="0" borderId="16" xfId="2" applyNumberFormat="1" applyFont="1" applyBorder="1"/>
    <xf numFmtId="168" fontId="9" fillId="0" borderId="16" xfId="2" applyNumberFormat="1" applyFont="1" applyBorder="1"/>
    <xf numFmtId="0" fontId="4" fillId="2" borderId="23" xfId="2" applyFont="1" applyFill="1" applyBorder="1" applyAlignment="1">
      <alignment horizontal="left" wrapText="1"/>
    </xf>
    <xf numFmtId="0" fontId="6" fillId="0" borderId="23" xfId="2" applyFont="1" applyBorder="1"/>
    <xf numFmtId="0" fontId="3" fillId="0" borderId="23" xfId="2" applyBorder="1"/>
    <xf numFmtId="0" fontId="11" fillId="2" borderId="23" xfId="2" applyFont="1" applyFill="1" applyBorder="1" applyAlignment="1">
      <alignment horizontal="center" wrapText="1"/>
    </xf>
    <xf numFmtId="0" fontId="4" fillId="0" borderId="23" xfId="2" applyFont="1" applyBorder="1"/>
    <xf numFmtId="0" fontId="4" fillId="0" borderId="23" xfId="2" applyFont="1" applyBorder="1" applyAlignment="1">
      <alignment wrapText="1"/>
    </xf>
    <xf numFmtId="0" fontId="5" fillId="2" borderId="2" xfId="2" applyFont="1" applyFill="1" applyBorder="1"/>
    <xf numFmtId="167" fontId="6" fillId="0" borderId="2" xfId="2" applyNumberFormat="1" applyFont="1" applyBorder="1" applyAlignment="1">
      <alignment horizontal="center"/>
    </xf>
    <xf numFmtId="0" fontId="5" fillId="2" borderId="23" xfId="2" applyFont="1" applyFill="1" applyBorder="1"/>
    <xf numFmtId="167" fontId="6" fillId="0" borderId="23" xfId="2" applyNumberFormat="1" applyFont="1" applyBorder="1" applyAlignment="1">
      <alignment horizontal="center"/>
    </xf>
    <xf numFmtId="167" fontId="6" fillId="0" borderId="0" xfId="2" applyNumberFormat="1" applyFont="1" applyAlignment="1">
      <alignment horizontal="center"/>
    </xf>
    <xf numFmtId="0" fontId="6" fillId="0" borderId="23" xfId="2" applyFont="1" applyBorder="1" applyAlignment="1">
      <alignment horizontal="right"/>
    </xf>
    <xf numFmtId="0" fontId="4" fillId="0" borderId="17" xfId="2" applyFont="1" applyBorder="1" applyAlignment="1">
      <alignment horizontal="left"/>
    </xf>
    <xf numFmtId="0" fontId="6" fillId="0" borderId="17" xfId="2" applyFont="1" applyBorder="1" applyAlignment="1">
      <alignment horizontal="right"/>
    </xf>
    <xf numFmtId="0" fontId="6" fillId="0" borderId="17" xfId="2" applyFont="1" applyBorder="1"/>
    <xf numFmtId="0" fontId="6" fillId="0" borderId="3" xfId="2" applyFont="1" applyBorder="1" applyAlignment="1">
      <alignment horizontal="right"/>
    </xf>
    <xf numFmtId="0" fontId="4" fillId="2" borderId="19" xfId="2" applyFont="1" applyFill="1" applyBorder="1" applyAlignment="1">
      <alignment horizontal="center"/>
    </xf>
    <xf numFmtId="0" fontId="4" fillId="2" borderId="5" xfId="2" applyFont="1" applyFill="1" applyBorder="1" applyAlignment="1">
      <alignment horizontal="center"/>
    </xf>
    <xf numFmtId="0" fontId="4" fillId="2" borderId="24" xfId="2" applyFont="1" applyFill="1" applyBorder="1" applyAlignment="1">
      <alignment horizontal="center"/>
    </xf>
    <xf numFmtId="0" fontId="5" fillId="2" borderId="24" xfId="2" applyFont="1" applyFill="1" applyBorder="1"/>
    <xf numFmtId="0" fontId="6" fillId="0" borderId="19" xfId="2" applyFont="1" applyBorder="1" applyAlignment="1">
      <alignment horizontal="right"/>
    </xf>
    <xf numFmtId="4" fontId="9" fillId="0" borderId="0" xfId="2" applyNumberFormat="1" applyFont="1"/>
    <xf numFmtId="0" fontId="13" fillId="0" borderId="0" xfId="2" applyFont="1"/>
    <xf numFmtId="10" fontId="13" fillId="0" borderId="0" xfId="2" applyNumberFormat="1" applyFont="1"/>
    <xf numFmtId="9" fontId="13" fillId="0" borderId="0" xfId="2" applyNumberFormat="1" applyFont="1"/>
    <xf numFmtId="0" fontId="14" fillId="2" borderId="25" xfId="2" applyFont="1" applyFill="1" applyBorder="1" applyAlignment="1">
      <alignment horizontal="left"/>
    </xf>
    <xf numFmtId="0" fontId="9" fillId="2" borderId="26" xfId="2" applyFont="1" applyFill="1" applyBorder="1" applyAlignment="1">
      <alignment horizontal="left"/>
    </xf>
    <xf numFmtId="0" fontId="4" fillId="2" borderId="26" xfId="2" applyFont="1" applyFill="1" applyBorder="1" applyAlignment="1">
      <alignment horizontal="left"/>
    </xf>
    <xf numFmtId="0" fontId="4" fillId="2" borderId="26" xfId="2" applyFont="1" applyFill="1" applyBorder="1" applyAlignment="1">
      <alignment horizontal="center"/>
    </xf>
    <xf numFmtId="0" fontId="5" fillId="2" borderId="26" xfId="2" applyFont="1" applyFill="1" applyBorder="1"/>
    <xf numFmtId="0" fontId="5" fillId="2" borderId="27" xfId="2" applyFont="1" applyFill="1" applyBorder="1"/>
    <xf numFmtId="0" fontId="9" fillId="0" borderId="28" xfId="2" applyFont="1" applyBorder="1" applyAlignment="1">
      <alignment horizontal="left"/>
    </xf>
    <xf numFmtId="0" fontId="9" fillId="0" borderId="29" xfId="2" applyFont="1" applyBorder="1" applyAlignment="1">
      <alignment horizontal="left"/>
    </xf>
    <xf numFmtId="0" fontId="9" fillId="0" borderId="29" xfId="2" applyFont="1" applyBorder="1"/>
    <xf numFmtId="0" fontId="9" fillId="0" borderId="30" xfId="2" applyFont="1" applyBorder="1"/>
    <xf numFmtId="0" fontId="4" fillId="0" borderId="28" xfId="2" applyFont="1" applyBorder="1" applyAlignment="1">
      <alignment horizontal="left"/>
    </xf>
    <xf numFmtId="0" fontId="4" fillId="0" borderId="29" xfId="2" applyFont="1" applyBorder="1" applyAlignment="1">
      <alignment horizontal="left"/>
    </xf>
    <xf numFmtId="0" fontId="6" fillId="0" borderId="29" xfId="2" applyFont="1" applyBorder="1"/>
    <xf numFmtId="0" fontId="6" fillId="0" borderId="30" xfId="2" applyFont="1" applyBorder="1"/>
    <xf numFmtId="169" fontId="6" fillId="0" borderId="29" xfId="2" applyNumberFormat="1" applyFont="1" applyBorder="1"/>
    <xf numFmtId="169" fontId="6" fillId="0" borderId="30" xfId="2" applyNumberFormat="1" applyFont="1" applyBorder="1"/>
    <xf numFmtId="2" fontId="9" fillId="0" borderId="31" xfId="2" applyNumberFormat="1" applyFont="1" applyBorder="1"/>
    <xf numFmtId="2" fontId="9" fillId="0" borderId="32" xfId="2" applyNumberFormat="1" applyFont="1" applyBorder="1"/>
    <xf numFmtId="2" fontId="9" fillId="0" borderId="33" xfId="2" applyNumberFormat="1" applyFont="1" applyBorder="1"/>
    <xf numFmtId="2" fontId="9" fillId="0" borderId="34" xfId="2" applyNumberFormat="1" applyFont="1" applyBorder="1"/>
    <xf numFmtId="2" fontId="9" fillId="0" borderId="35" xfId="2" applyNumberFormat="1" applyFont="1" applyBorder="1"/>
    <xf numFmtId="2" fontId="9" fillId="0" borderId="36" xfId="2" applyNumberFormat="1" applyFont="1" applyBorder="1"/>
    <xf numFmtId="0" fontId="3" fillId="0" borderId="25" xfId="2" applyBorder="1"/>
    <xf numFmtId="0" fontId="3" fillId="0" borderId="27" xfId="2" applyBorder="1"/>
    <xf numFmtId="0" fontId="41" fillId="0" borderId="28" xfId="2" applyFont="1" applyBorder="1"/>
    <xf numFmtId="0" fontId="41" fillId="0" borderId="29" xfId="2" applyFont="1" applyBorder="1"/>
    <xf numFmtId="2" fontId="41" fillId="0" borderId="29" xfId="2" applyNumberFormat="1" applyFont="1" applyBorder="1"/>
    <xf numFmtId="2" fontId="41" fillId="0" borderId="30" xfId="2" applyNumberFormat="1" applyFont="1" applyBorder="1"/>
    <xf numFmtId="2" fontId="42" fillId="0" borderId="0" xfId="2" applyNumberFormat="1" applyFont="1"/>
    <xf numFmtId="10" fontId="42" fillId="0" borderId="0" xfId="2" applyNumberFormat="1" applyFont="1"/>
    <xf numFmtId="9" fontId="42" fillId="0" borderId="0" xfId="2" applyNumberFormat="1" applyFont="1"/>
    <xf numFmtId="0" fontId="42" fillId="0" borderId="0" xfId="2" applyFont="1"/>
    <xf numFmtId="0" fontId="41" fillId="0" borderId="0" xfId="2" applyFont="1"/>
    <xf numFmtId="0" fontId="26" fillId="0" borderId="0" xfId="2" applyFont="1" applyAlignment="1">
      <alignment wrapText="1"/>
    </xf>
    <xf numFmtId="0" fontId="27" fillId="0" borderId="0" xfId="2" applyFont="1" applyAlignment="1">
      <alignment vertical="top" wrapText="1"/>
    </xf>
    <xf numFmtId="0" fontId="22" fillId="0" borderId="23" xfId="2" applyFont="1" applyBorder="1" applyAlignment="1">
      <alignment horizontal="center"/>
    </xf>
    <xf numFmtId="0" fontId="46" fillId="0" borderId="23" xfId="2" applyFont="1" applyBorder="1" applyAlignment="1">
      <alignment horizontal="center"/>
    </xf>
    <xf numFmtId="0" fontId="23" fillId="0" borderId="23" xfId="2" applyFont="1" applyBorder="1" applyAlignment="1">
      <alignment horizontal="center"/>
    </xf>
    <xf numFmtId="0" fontId="34" fillId="0" borderId="23" xfId="2" applyFont="1" applyBorder="1" applyAlignment="1">
      <alignment horizontal="right"/>
    </xf>
    <xf numFmtId="0" fontId="34" fillId="0" borderId="23" xfId="2" applyFont="1" applyBorder="1"/>
    <xf numFmtId="4" fontId="23" fillId="0" borderId="23" xfId="2" applyNumberFormat="1" applyFont="1" applyBorder="1" applyAlignment="1">
      <alignment wrapText="1"/>
    </xf>
    <xf numFmtId="4" fontId="23" fillId="0" borderId="23" xfId="2" applyNumberFormat="1" applyFont="1" applyBorder="1" applyAlignment="1">
      <alignment horizontal="center" wrapText="1"/>
    </xf>
    <xf numFmtId="0" fontId="47" fillId="0" borderId="0" xfId="2" applyFont="1"/>
    <xf numFmtId="167" fontId="23" fillId="0" borderId="23" xfId="2" applyNumberFormat="1" applyFont="1" applyBorder="1" applyAlignment="1">
      <alignment wrapText="1"/>
    </xf>
    <xf numFmtId="10" fontId="23" fillId="0" borderId="23" xfId="2" applyNumberFormat="1" applyFont="1" applyBorder="1" applyAlignment="1">
      <alignment wrapText="1"/>
    </xf>
    <xf numFmtId="10" fontId="23" fillId="0" borderId="23" xfId="2" applyNumberFormat="1" applyFont="1" applyBorder="1" applyAlignment="1">
      <alignment horizontal="center" wrapText="1"/>
    </xf>
    <xf numFmtId="0" fontId="22" fillId="7" borderId="23" xfId="2" applyFont="1" applyFill="1" applyBorder="1" applyAlignment="1">
      <alignment horizontal="center"/>
    </xf>
    <xf numFmtId="0" fontId="5" fillId="8" borderId="1" xfId="2" applyFont="1" applyFill="1" applyBorder="1"/>
    <xf numFmtId="171" fontId="5" fillId="8" borderId="1" xfId="2" applyNumberFormat="1" applyFont="1" applyFill="1" applyBorder="1" applyAlignment="1">
      <alignment horizontal="left"/>
    </xf>
    <xf numFmtId="0" fontId="5" fillId="6" borderId="1" xfId="2" applyFont="1" applyFill="1" applyBorder="1" applyAlignment="1">
      <alignment horizontal="left"/>
    </xf>
    <xf numFmtId="0" fontId="11" fillId="7" borderId="1" xfId="2" applyFont="1" applyFill="1" applyBorder="1" applyAlignment="1">
      <alignment horizontal="center"/>
    </xf>
    <xf numFmtId="0" fontId="48" fillId="0" borderId="1" xfId="2" applyFont="1" applyBorder="1" applyAlignment="1">
      <alignment horizontal="center"/>
    </xf>
    <xf numFmtId="0" fontId="11" fillId="7" borderId="6" xfId="2" applyFont="1" applyFill="1" applyBorder="1" applyAlignment="1">
      <alignment horizontal="center"/>
    </xf>
    <xf numFmtId="0" fontId="48" fillId="0" borderId="6" xfId="2" applyFont="1" applyBorder="1" applyAlignment="1">
      <alignment horizontal="center"/>
    </xf>
    <xf numFmtId="0" fontId="51" fillId="4" borderId="0" xfId="2" applyFont="1" applyFill="1"/>
    <xf numFmtId="0" fontId="25" fillId="0" borderId="1" xfId="2" applyFont="1" applyBorder="1" applyAlignment="1">
      <alignment wrapText="1"/>
    </xf>
    <xf numFmtId="0" fontId="53" fillId="0" borderId="0" xfId="2" applyFont="1"/>
    <xf numFmtId="0" fontId="53" fillId="9" borderId="3" xfId="2" applyFont="1" applyFill="1" applyBorder="1" applyAlignment="1">
      <alignment horizontal="left"/>
    </xf>
    <xf numFmtId="0" fontId="53" fillId="9" borderId="4" xfId="2" applyFont="1" applyFill="1" applyBorder="1" applyAlignment="1">
      <alignment horizontal="center"/>
    </xf>
    <xf numFmtId="0" fontId="54" fillId="0" borderId="20" xfId="2" applyFont="1" applyBorder="1"/>
    <xf numFmtId="0" fontId="54" fillId="10" borderId="12" xfId="2" applyFont="1" applyFill="1" applyBorder="1" applyAlignment="1">
      <alignment horizontal="center"/>
    </xf>
    <xf numFmtId="0" fontId="54" fillId="11" borderId="20" xfId="2" applyFont="1" applyFill="1" applyBorder="1"/>
    <xf numFmtId="0" fontId="54" fillId="11" borderId="12" xfId="2" applyFont="1" applyFill="1" applyBorder="1" applyAlignment="1">
      <alignment horizontal="center"/>
    </xf>
    <xf numFmtId="0" fontId="54" fillId="0" borderId="5" xfId="2" applyFont="1" applyBorder="1"/>
    <xf numFmtId="0" fontId="54" fillId="10" borderId="6" xfId="2" applyFont="1" applyFill="1" applyBorder="1" applyAlignment="1">
      <alignment horizontal="center"/>
    </xf>
    <xf numFmtId="0" fontId="53" fillId="9" borderId="1" xfId="2" applyFont="1" applyFill="1" applyBorder="1" applyAlignment="1">
      <alignment horizontal="left"/>
    </xf>
    <xf numFmtId="0" fontId="53" fillId="9" borderId="1" xfId="2" applyFont="1" applyFill="1" applyBorder="1" applyAlignment="1">
      <alignment horizontal="center"/>
    </xf>
    <xf numFmtId="0" fontId="5" fillId="9" borderId="1" xfId="2" applyFont="1" applyFill="1" applyBorder="1"/>
    <xf numFmtId="0" fontId="55" fillId="9" borderId="1" xfId="2" applyFont="1" applyFill="1" applyBorder="1"/>
    <xf numFmtId="0" fontId="53" fillId="0" borderId="1" xfId="2" applyFont="1" applyBorder="1" applyAlignment="1">
      <alignment horizontal="left"/>
    </xf>
    <xf numFmtId="0" fontId="53" fillId="0" borderId="1" xfId="2" applyFont="1" applyBorder="1" applyAlignment="1">
      <alignment horizontal="center"/>
    </xf>
    <xf numFmtId="0" fontId="53" fillId="0" borderId="1" xfId="2" applyFont="1" applyBorder="1"/>
    <xf numFmtId="0" fontId="13" fillId="0" borderId="1" xfId="2" applyFont="1" applyBorder="1"/>
    <xf numFmtId="2" fontId="9" fillId="0" borderId="0" xfId="2" applyNumberFormat="1" applyFont="1"/>
    <xf numFmtId="0" fontId="5" fillId="9" borderId="0" xfId="2" applyFont="1" applyFill="1"/>
    <xf numFmtId="2" fontId="54" fillId="0" borderId="1" xfId="2" applyNumberFormat="1" applyFont="1" applyBorder="1" applyAlignment="1">
      <alignment horizontal="center"/>
    </xf>
    <xf numFmtId="0" fontId="54" fillId="0" borderId="1" xfId="2" applyFont="1" applyBorder="1" applyAlignment="1">
      <alignment horizontal="center"/>
    </xf>
    <xf numFmtId="1" fontId="54" fillId="0" borderId="1" xfId="2" applyNumberFormat="1" applyFont="1" applyBorder="1" applyAlignment="1">
      <alignment horizontal="center"/>
    </xf>
    <xf numFmtId="0" fontId="54" fillId="0" borderId="20" xfId="2" applyFont="1" applyBorder="1" applyAlignment="1">
      <alignment horizontal="left"/>
    </xf>
    <xf numFmtId="0" fontId="54" fillId="0" borderId="12" xfId="2" applyFont="1" applyBorder="1" applyAlignment="1">
      <alignment horizontal="center"/>
    </xf>
    <xf numFmtId="0" fontId="54" fillId="0" borderId="5" xfId="2" applyFont="1" applyBorder="1" applyAlignment="1">
      <alignment horizontal="left"/>
    </xf>
    <xf numFmtId="0" fontId="54" fillId="0" borderId="6" xfId="2" applyFont="1" applyBorder="1" applyAlignment="1">
      <alignment horizontal="center"/>
    </xf>
    <xf numFmtId="0" fontId="53" fillId="10" borderId="6" xfId="2" applyFont="1" applyFill="1" applyBorder="1" applyAlignment="1">
      <alignment horizontal="center"/>
    </xf>
    <xf numFmtId="0" fontId="53" fillId="9" borderId="3" xfId="2" applyFont="1" applyFill="1" applyBorder="1"/>
    <xf numFmtId="0" fontId="53" fillId="9" borderId="4" xfId="2" applyFont="1" applyFill="1" applyBorder="1"/>
    <xf numFmtId="2" fontId="54" fillId="10" borderId="12" xfId="2" applyNumberFormat="1" applyFont="1" applyFill="1" applyBorder="1" applyAlignment="1">
      <alignment horizontal="center"/>
    </xf>
    <xf numFmtId="0" fontId="53" fillId="9" borderId="1" xfId="2" applyFont="1" applyFill="1" applyBorder="1"/>
    <xf numFmtId="173" fontId="54" fillId="0" borderId="1" xfId="2" applyNumberFormat="1" applyFont="1" applyBorder="1" applyAlignment="1">
      <alignment horizontal="center"/>
    </xf>
    <xf numFmtId="0" fontId="53" fillId="9" borderId="21" xfId="2" applyFont="1" applyFill="1" applyBorder="1" applyAlignment="1">
      <alignment horizontal="center"/>
    </xf>
    <xf numFmtId="0" fontId="53" fillId="0" borderId="5" xfId="2" applyFont="1" applyBorder="1" applyAlignment="1">
      <alignment horizontal="left"/>
    </xf>
    <xf numFmtId="0" fontId="53" fillId="0" borderId="22" xfId="2" applyFont="1" applyBorder="1" applyAlignment="1">
      <alignment horizontal="center"/>
    </xf>
    <xf numFmtId="0" fontId="54" fillId="0" borderId="0" xfId="2" applyFont="1" applyAlignment="1">
      <alignment horizontal="center"/>
    </xf>
    <xf numFmtId="1" fontId="54" fillId="0" borderId="0" xfId="2" applyNumberFormat="1" applyFont="1" applyAlignment="1">
      <alignment horizontal="center"/>
    </xf>
    <xf numFmtId="0" fontId="56" fillId="0" borderId="0" xfId="2" applyFont="1"/>
    <xf numFmtId="0" fontId="9" fillId="9" borderId="1" xfId="2" applyFont="1" applyFill="1" applyBorder="1"/>
    <xf numFmtId="171" fontId="53" fillId="9" borderId="1" xfId="2" applyNumberFormat="1" applyFont="1" applyFill="1" applyBorder="1" applyAlignment="1">
      <alignment horizontal="center"/>
    </xf>
    <xf numFmtId="172" fontId="53" fillId="9" borderId="1" xfId="2" applyNumberFormat="1" applyFont="1" applyFill="1" applyBorder="1" applyAlignment="1">
      <alignment horizontal="center"/>
    </xf>
    <xf numFmtId="0" fontId="13" fillId="12" borderId="0" xfId="2" applyFont="1" applyFill="1"/>
    <xf numFmtId="0" fontId="54" fillId="0" borderId="0" xfId="2" applyFont="1"/>
    <xf numFmtId="0" fontId="57" fillId="0" borderId="0" xfId="2" applyFont="1"/>
    <xf numFmtId="0" fontId="58" fillId="0" borderId="1" xfId="2" applyFont="1" applyBorder="1"/>
    <xf numFmtId="0" fontId="58" fillId="0" borderId="1" xfId="2" applyFont="1" applyBorder="1" applyAlignment="1">
      <alignment horizontal="center"/>
    </xf>
    <xf numFmtId="0" fontId="54" fillId="0" borderId="1" xfId="2" applyFont="1" applyBorder="1" applyAlignment="1">
      <alignment horizontal="right"/>
    </xf>
    <xf numFmtId="0" fontId="54" fillId="0" borderId="0" xfId="2" applyFont="1" applyAlignment="1">
      <alignment horizontal="left"/>
    </xf>
    <xf numFmtId="0" fontId="53" fillId="0" borderId="0" xfId="2" applyFont="1" applyAlignment="1">
      <alignment horizontal="left"/>
    </xf>
    <xf numFmtId="170" fontId="13" fillId="0" borderId="0" xfId="2" applyNumberFormat="1" applyFont="1"/>
    <xf numFmtId="0" fontId="54" fillId="0" borderId="1" xfId="2" applyFont="1" applyBorder="1"/>
    <xf numFmtId="3" fontId="54" fillId="0" borderId="1" xfId="2" applyNumberFormat="1" applyFont="1" applyBorder="1"/>
    <xf numFmtId="175" fontId="54" fillId="0" borderId="1" xfId="2" applyNumberFormat="1" applyFont="1" applyBorder="1"/>
    <xf numFmtId="3" fontId="54" fillId="12" borderId="1" xfId="2" applyNumberFormat="1" applyFont="1" applyFill="1" applyBorder="1"/>
    <xf numFmtId="0" fontId="54" fillId="0" borderId="0" xfId="2" applyFont="1" applyAlignment="1">
      <alignment horizontal="left" wrapText="1"/>
    </xf>
    <xf numFmtId="0" fontId="53" fillId="0" borderId="0" xfId="2" applyFont="1" applyAlignment="1">
      <alignment horizontal="center"/>
    </xf>
    <xf numFmtId="171" fontId="53" fillId="0" borderId="0" xfId="2" applyNumberFormat="1" applyFont="1" applyAlignment="1">
      <alignment horizontal="center"/>
    </xf>
    <xf numFmtId="172" fontId="53" fillId="0" borderId="0" xfId="2" applyNumberFormat="1" applyFont="1" applyAlignment="1">
      <alignment horizontal="center"/>
    </xf>
    <xf numFmtId="4" fontId="54" fillId="0" borderId="0" xfId="2" applyNumberFormat="1" applyFont="1"/>
    <xf numFmtId="4" fontId="54" fillId="0" borderId="0" xfId="2" applyNumberFormat="1" applyFont="1" applyAlignment="1">
      <alignment horizontal="right"/>
    </xf>
    <xf numFmtId="0" fontId="53" fillId="0" borderId="0" xfId="2" applyFont="1" applyAlignment="1">
      <alignment horizontal="right"/>
    </xf>
    <xf numFmtId="0" fontId="55" fillId="9" borderId="0" xfId="2" applyFont="1" applyFill="1"/>
    <xf numFmtId="0" fontId="54" fillId="9" borderId="1" xfId="2" applyFont="1" applyFill="1" applyBorder="1" applyAlignment="1">
      <alignment horizontal="center"/>
    </xf>
    <xf numFmtId="2" fontId="5" fillId="0" borderId="1" xfId="2" applyNumberFormat="1" applyFont="1" applyBorder="1"/>
    <xf numFmtId="0" fontId="53" fillId="0" borderId="1" xfId="2" applyFont="1" applyBorder="1" applyAlignment="1">
      <alignment horizontal="right"/>
    </xf>
    <xf numFmtId="0" fontId="54" fillId="0" borderId="0" xfId="2" applyFont="1" applyAlignment="1">
      <alignment horizontal="right"/>
    </xf>
    <xf numFmtId="0" fontId="53" fillId="9" borderId="3" xfId="2" applyFont="1" applyFill="1" applyBorder="1" applyAlignment="1">
      <alignment horizontal="left" wrapText="1"/>
    </xf>
    <xf numFmtId="4" fontId="54" fillId="0" borderId="0" xfId="2" applyNumberFormat="1" applyFont="1" applyAlignment="1">
      <alignment horizontal="center"/>
    </xf>
    <xf numFmtId="0" fontId="54" fillId="0" borderId="12" xfId="2" applyFont="1" applyBorder="1" applyAlignment="1">
      <alignment horizontal="right"/>
    </xf>
    <xf numFmtId="0" fontId="54" fillId="0" borderId="22" xfId="2" applyFont="1" applyBorder="1" applyAlignment="1">
      <alignment horizontal="center"/>
    </xf>
    <xf numFmtId="0" fontId="54" fillId="0" borderId="20" xfId="2" applyFont="1" applyBorder="1" applyAlignment="1">
      <alignment horizontal="right"/>
    </xf>
    <xf numFmtId="3" fontId="53" fillId="9" borderId="1" xfId="2" applyNumberFormat="1" applyFont="1" applyFill="1" applyBorder="1" applyAlignment="1">
      <alignment horizontal="center"/>
    </xf>
    <xf numFmtId="0" fontId="18" fillId="13" borderId="1" xfId="2" applyFont="1" applyFill="1" applyBorder="1"/>
    <xf numFmtId="0" fontId="18" fillId="13" borderId="16" xfId="2" applyFont="1" applyFill="1" applyBorder="1"/>
    <xf numFmtId="0" fontId="34" fillId="0" borderId="19" xfId="2" applyFont="1" applyBorder="1" applyAlignment="1">
      <alignment horizontal="right"/>
    </xf>
    <xf numFmtId="0" fontId="34" fillId="0" borderId="6" xfId="2" applyFont="1" applyBorder="1"/>
    <xf numFmtId="0" fontId="18" fillId="0" borderId="6" xfId="2" applyFont="1" applyBorder="1" applyAlignment="1">
      <alignment vertical="top"/>
    </xf>
    <xf numFmtId="0" fontId="18" fillId="0" borderId="6" xfId="2" applyFont="1" applyBorder="1" applyAlignment="1">
      <alignment horizontal="right" vertical="top"/>
    </xf>
    <xf numFmtId="0" fontId="18" fillId="12" borderId="6" xfId="2" applyFont="1" applyFill="1" applyBorder="1" applyAlignment="1">
      <alignment vertical="top"/>
    </xf>
    <xf numFmtId="0" fontId="18" fillId="0" borderId="6" xfId="2" applyFont="1" applyBorder="1" applyAlignment="1">
      <alignment horizontal="right"/>
    </xf>
    <xf numFmtId="3" fontId="54" fillId="0" borderId="0" xfId="2" applyNumberFormat="1" applyFont="1" applyAlignment="1">
      <alignment horizontal="center"/>
    </xf>
    <xf numFmtId="164" fontId="9" fillId="0" borderId="0" xfId="2" applyNumberFormat="1" applyFont="1"/>
    <xf numFmtId="0" fontId="53" fillId="9" borderId="0" xfId="2" applyFont="1" applyFill="1" applyAlignment="1">
      <alignment horizontal="left"/>
    </xf>
    <xf numFmtId="0" fontId="53" fillId="9" borderId="0" xfId="2" applyFont="1" applyFill="1" applyAlignment="1">
      <alignment horizontal="center"/>
    </xf>
    <xf numFmtId="164" fontId="53" fillId="9" borderId="0" xfId="2" applyNumberFormat="1" applyFont="1" applyFill="1" applyAlignment="1">
      <alignment horizontal="center"/>
    </xf>
    <xf numFmtId="176" fontId="54" fillId="0" borderId="1" xfId="2" applyNumberFormat="1" applyFont="1" applyBorder="1" applyAlignment="1">
      <alignment horizontal="center"/>
    </xf>
    <xf numFmtId="177" fontId="13" fillId="0" borderId="0" xfId="2" applyNumberFormat="1" applyFont="1"/>
    <xf numFmtId="3" fontId="54" fillId="0" borderId="0" xfId="2" applyNumberFormat="1" applyFont="1"/>
    <xf numFmtId="0" fontId="34" fillId="0" borderId="6" xfId="2" applyFont="1" applyBorder="1" applyAlignment="1">
      <alignment horizontal="right"/>
    </xf>
    <xf numFmtId="0" fontId="35" fillId="4" borderId="0" xfId="2" applyFont="1" applyFill="1"/>
    <xf numFmtId="1" fontId="53" fillId="0" borderId="1" xfId="2" applyNumberFormat="1" applyFont="1" applyBorder="1" applyAlignment="1">
      <alignment horizontal="center"/>
    </xf>
    <xf numFmtId="1" fontId="54" fillId="0" borderId="1" xfId="2" applyNumberFormat="1" applyFont="1" applyBorder="1" applyAlignment="1">
      <alignment horizontal="right"/>
    </xf>
    <xf numFmtId="0" fontId="18" fillId="13" borderId="16" xfId="2" applyFont="1" applyFill="1" applyBorder="1" applyAlignment="1">
      <alignment horizontal="center"/>
    </xf>
    <xf numFmtId="0" fontId="18" fillId="13" borderId="15" xfId="2" applyFont="1" applyFill="1" applyBorder="1"/>
    <xf numFmtId="0" fontId="34" fillId="0" borderId="6" xfId="2" applyFont="1" applyBorder="1" applyAlignment="1">
      <alignment horizontal="center" vertical="top"/>
    </xf>
    <xf numFmtId="0" fontId="34" fillId="0" borderId="22" xfId="2" applyFont="1" applyBorder="1" applyAlignment="1">
      <alignment horizontal="center" vertical="top"/>
    </xf>
    <xf numFmtId="0" fontId="18" fillId="0" borderId="19" xfId="2" applyFont="1" applyBorder="1" applyAlignment="1">
      <alignment vertical="top"/>
    </xf>
    <xf numFmtId="0" fontId="34" fillId="0" borderId="6" xfId="2" applyFont="1" applyBorder="1" applyAlignment="1">
      <alignment horizontal="center"/>
    </xf>
    <xf numFmtId="0" fontId="34" fillId="0" borderId="22" xfId="2" applyFont="1" applyBorder="1" applyAlignment="1">
      <alignment horizontal="center"/>
    </xf>
    <xf numFmtId="0" fontId="53" fillId="0" borderId="0" xfId="2" applyFont="1" applyAlignment="1">
      <alignment horizontal="center" wrapText="1"/>
    </xf>
    <xf numFmtId="0" fontId="61" fillId="0" borderId="0" xfId="2" applyFont="1"/>
    <xf numFmtId="2" fontId="53" fillId="0" borderId="1" xfId="2" applyNumberFormat="1" applyFont="1" applyBorder="1" applyAlignment="1">
      <alignment horizontal="center"/>
    </xf>
    <xf numFmtId="164" fontId="54" fillId="0" borderId="1" xfId="2" applyNumberFormat="1" applyFont="1" applyBorder="1" applyAlignment="1">
      <alignment horizontal="center"/>
    </xf>
    <xf numFmtId="0" fontId="53" fillId="0" borderId="17" xfId="2" applyFont="1" applyBorder="1" applyAlignment="1">
      <alignment horizontal="left"/>
    </xf>
    <xf numFmtId="0" fontId="53" fillId="0" borderId="17" xfId="2" applyFont="1" applyBorder="1" applyAlignment="1">
      <alignment horizontal="center"/>
    </xf>
    <xf numFmtId="1" fontId="54" fillId="0" borderId="17" xfId="2" applyNumberFormat="1" applyFont="1" applyBorder="1" applyAlignment="1">
      <alignment horizontal="center"/>
    </xf>
    <xf numFmtId="165" fontId="54" fillId="0" borderId="17" xfId="2" applyNumberFormat="1" applyFont="1" applyBorder="1" applyAlignment="1">
      <alignment horizontal="center"/>
    </xf>
    <xf numFmtId="165" fontId="54" fillId="0" borderId="0" xfId="2" applyNumberFormat="1" applyFont="1" applyAlignment="1">
      <alignment horizontal="right"/>
    </xf>
    <xf numFmtId="165" fontId="9" fillId="0" borderId="0" xfId="2" applyNumberFormat="1" applyFont="1"/>
    <xf numFmtId="165" fontId="53" fillId="9" borderId="1" xfId="2" applyNumberFormat="1" applyFont="1" applyFill="1" applyBorder="1" applyAlignment="1">
      <alignment horizontal="center"/>
    </xf>
    <xf numFmtId="165" fontId="5" fillId="9" borderId="1" xfId="2" applyNumberFormat="1" applyFont="1" applyFill="1" applyBorder="1"/>
    <xf numFmtId="165" fontId="53" fillId="0" borderId="1" xfId="2" applyNumberFormat="1" applyFont="1" applyBorder="1" applyAlignment="1">
      <alignment horizontal="center"/>
    </xf>
    <xf numFmtId="165" fontId="9" fillId="0" borderId="1" xfId="2" applyNumberFormat="1" applyFont="1" applyBorder="1"/>
    <xf numFmtId="165" fontId="53" fillId="9" borderId="21" xfId="2" applyNumberFormat="1" applyFont="1" applyFill="1" applyBorder="1" applyAlignment="1">
      <alignment horizontal="center"/>
    </xf>
    <xf numFmtId="165" fontId="53" fillId="9" borderId="4" xfId="2" applyNumberFormat="1" applyFont="1" applyFill="1" applyBorder="1" applyAlignment="1">
      <alignment horizontal="center"/>
    </xf>
    <xf numFmtId="165" fontId="5" fillId="9" borderId="0" xfId="2" applyNumberFormat="1" applyFont="1" applyFill="1"/>
    <xf numFmtId="174" fontId="54" fillId="0" borderId="0" xfId="2" applyNumberFormat="1" applyFont="1" applyAlignment="1">
      <alignment horizontal="center"/>
    </xf>
    <xf numFmtId="165" fontId="54" fillId="0" borderId="0" xfId="2" applyNumberFormat="1" applyFont="1" applyAlignment="1">
      <alignment horizontal="center"/>
    </xf>
    <xf numFmtId="165" fontId="54" fillId="0" borderId="1" xfId="2" applyNumberFormat="1" applyFont="1" applyBorder="1" applyAlignment="1">
      <alignment horizontal="center"/>
    </xf>
    <xf numFmtId="0" fontId="53" fillId="9" borderId="4" xfId="2" applyFont="1" applyFill="1" applyBorder="1" applyAlignment="1">
      <alignment horizontal="left"/>
    </xf>
    <xf numFmtId="0" fontId="53" fillId="9" borderId="6" xfId="2" applyFont="1" applyFill="1" applyBorder="1" applyAlignment="1">
      <alignment horizontal="center"/>
    </xf>
    <xf numFmtId="171" fontId="53" fillId="9" borderId="6" xfId="2" applyNumberFormat="1" applyFont="1" applyFill="1" applyBorder="1" applyAlignment="1">
      <alignment horizontal="center"/>
    </xf>
    <xf numFmtId="172" fontId="53" fillId="9" borderId="6" xfId="2" applyNumberFormat="1" applyFont="1" applyFill="1" applyBorder="1" applyAlignment="1">
      <alignment horizontal="center"/>
    </xf>
    <xf numFmtId="0" fontId="54" fillId="0" borderId="16" xfId="2" applyFont="1" applyBorder="1" applyAlignment="1">
      <alignment horizontal="center"/>
    </xf>
    <xf numFmtId="0" fontId="53" fillId="0" borderId="16" xfId="2" applyFont="1" applyBorder="1"/>
    <xf numFmtId="0" fontId="54" fillId="0" borderId="19" xfId="2" applyFont="1" applyBorder="1" applyAlignment="1">
      <alignment horizontal="center"/>
    </xf>
    <xf numFmtId="1" fontId="54" fillId="0" borderId="6" xfId="2" applyNumberFormat="1" applyFont="1" applyBorder="1"/>
    <xf numFmtId="0" fontId="56" fillId="0" borderId="0" xfId="2" applyFont="1" applyAlignment="1">
      <alignment horizontal="left" wrapText="1"/>
    </xf>
    <xf numFmtId="0" fontId="64" fillId="0" borderId="0" xfId="2" applyFont="1"/>
    <xf numFmtId="0" fontId="53" fillId="9" borderId="6" xfId="2" applyFont="1" applyFill="1" applyBorder="1"/>
    <xf numFmtId="0" fontId="53" fillId="0" borderId="6" xfId="2" applyFont="1" applyBorder="1"/>
    <xf numFmtId="3" fontId="53" fillId="0" borderId="16" xfId="2" applyNumberFormat="1" applyFont="1" applyBorder="1"/>
    <xf numFmtId="0" fontId="56" fillId="0" borderId="0" xfId="2" applyFont="1" applyAlignment="1">
      <alignment horizontal="left"/>
    </xf>
    <xf numFmtId="0" fontId="57" fillId="0" borderId="0" xfId="2" applyFont="1" applyAlignment="1">
      <alignment horizontal="left"/>
    </xf>
    <xf numFmtId="171" fontId="53" fillId="9" borderId="12" xfId="2" applyNumberFormat="1" applyFont="1" applyFill="1" applyBorder="1" applyAlignment="1">
      <alignment horizontal="center"/>
    </xf>
    <xf numFmtId="0" fontId="6" fillId="0" borderId="16" xfId="2" applyFont="1" applyBorder="1" applyAlignment="1">
      <alignment horizontal="right"/>
    </xf>
    <xf numFmtId="0" fontId="54" fillId="0" borderId="16" xfId="2" applyFont="1" applyBorder="1" applyAlignment="1">
      <alignment horizontal="right"/>
    </xf>
    <xf numFmtId="0" fontId="54" fillId="0" borderId="16" xfId="2" applyFont="1" applyBorder="1"/>
    <xf numFmtId="3" fontId="54" fillId="0" borderId="12" xfId="2" applyNumberFormat="1" applyFont="1" applyBorder="1" applyAlignment="1">
      <alignment horizontal="center"/>
    </xf>
    <xf numFmtId="3" fontId="54" fillId="0" borderId="1" xfId="2" applyNumberFormat="1" applyFont="1" applyBorder="1" applyAlignment="1">
      <alignment horizontal="center"/>
    </xf>
    <xf numFmtId="178" fontId="54" fillId="0" borderId="1" xfId="2" applyNumberFormat="1" applyFont="1" applyBorder="1" applyAlignment="1">
      <alignment horizontal="center"/>
    </xf>
    <xf numFmtId="164" fontId="54" fillId="0" borderId="22" xfId="2" applyNumberFormat="1" applyFont="1" applyBorder="1" applyAlignment="1">
      <alignment horizontal="center"/>
    </xf>
    <xf numFmtId="0" fontId="54" fillId="0" borderId="1" xfId="2" applyFont="1" applyBorder="1" applyAlignment="1">
      <alignment horizontal="left"/>
    </xf>
    <xf numFmtId="0" fontId="54" fillId="10" borderId="1" xfId="2" applyFont="1" applyFill="1" applyBorder="1" applyAlignment="1">
      <alignment horizontal="center"/>
    </xf>
    <xf numFmtId="2" fontId="54" fillId="10" borderId="1" xfId="2" applyNumberFormat="1" applyFont="1" applyFill="1" applyBorder="1" applyAlignment="1">
      <alignment horizontal="center"/>
    </xf>
    <xf numFmtId="0" fontId="54" fillId="11" borderId="1" xfId="2" applyFont="1" applyFill="1" applyBorder="1"/>
    <xf numFmtId="1" fontId="54" fillId="0" borderId="1" xfId="2" applyNumberFormat="1" applyFont="1" applyBorder="1"/>
    <xf numFmtId="0" fontId="54" fillId="0" borderId="0" xfId="2" applyFont="1" applyAlignment="1">
      <alignment wrapText="1"/>
    </xf>
    <xf numFmtId="10" fontId="54" fillId="0" borderId="0" xfId="2" applyNumberFormat="1" applyFont="1" applyAlignment="1">
      <alignment horizontal="right"/>
    </xf>
    <xf numFmtId="3" fontId="54" fillId="0" borderId="0" xfId="2" applyNumberFormat="1" applyFont="1" applyAlignment="1">
      <alignment horizontal="right"/>
    </xf>
    <xf numFmtId="0" fontId="54" fillId="11" borderId="5" xfId="2" applyFont="1" applyFill="1" applyBorder="1"/>
    <xf numFmtId="0" fontId="53" fillId="9" borderId="1" xfId="2" applyFont="1" applyFill="1" applyBorder="1" applyAlignment="1">
      <alignment horizontal="right"/>
    </xf>
    <xf numFmtId="166" fontId="53" fillId="0" borderId="1" xfId="2" applyNumberFormat="1" applyFont="1" applyBorder="1" applyAlignment="1">
      <alignment horizontal="center"/>
    </xf>
    <xf numFmtId="4" fontId="54" fillId="0" borderId="1" xfId="2" applyNumberFormat="1" applyFont="1" applyBorder="1" applyAlignment="1">
      <alignment horizontal="center"/>
    </xf>
    <xf numFmtId="176" fontId="54" fillId="0" borderId="0" xfId="2" applyNumberFormat="1" applyFont="1" applyAlignment="1">
      <alignment horizontal="center"/>
    </xf>
    <xf numFmtId="176" fontId="9" fillId="0" borderId="0" xfId="2" applyNumberFormat="1" applyFont="1"/>
    <xf numFmtId="0" fontId="54" fillId="11" borderId="6" xfId="2" applyFont="1" applyFill="1" applyBorder="1" applyAlignment="1">
      <alignment horizontal="center"/>
    </xf>
    <xf numFmtId="0" fontId="53" fillId="9" borderId="3" xfId="2" applyFont="1" applyFill="1" applyBorder="1" applyAlignment="1">
      <alignment wrapText="1"/>
    </xf>
    <xf numFmtId="0" fontId="5" fillId="9" borderId="2" xfId="2" applyFont="1" applyFill="1" applyBorder="1"/>
    <xf numFmtId="0" fontId="18" fillId="13" borderId="1" xfId="2" applyFont="1" applyFill="1" applyBorder="1" applyAlignment="1">
      <alignment horizontal="center"/>
    </xf>
    <xf numFmtId="0" fontId="18" fillId="0" borderId="0" xfId="2" applyFont="1" applyAlignment="1">
      <alignment horizontal="center"/>
    </xf>
    <xf numFmtId="0" fontId="34" fillId="0" borderId="1" xfId="2" applyFont="1" applyBorder="1" applyAlignment="1">
      <alignment horizontal="center"/>
    </xf>
    <xf numFmtId="0" fontId="18" fillId="0" borderId="1" xfId="2" applyFont="1" applyBorder="1" applyAlignment="1">
      <alignment horizontal="center"/>
    </xf>
    <xf numFmtId="0" fontId="34" fillId="12" borderId="1" xfId="2" applyFont="1" applyFill="1" applyBorder="1" applyAlignment="1">
      <alignment horizontal="center"/>
    </xf>
    <xf numFmtId="0" fontId="34" fillId="12" borderId="1" xfId="2" applyFont="1" applyFill="1" applyBorder="1"/>
    <xf numFmtId="0" fontId="18" fillId="0" borderId="1" xfId="2" applyFont="1" applyBorder="1" applyAlignment="1">
      <alignment horizontal="center" vertical="top"/>
    </xf>
    <xf numFmtId="0" fontId="34" fillId="0" borderId="0" xfId="2" applyFont="1" applyAlignment="1">
      <alignment horizontal="left"/>
    </xf>
    <xf numFmtId="0" fontId="34" fillId="0" borderId="19" xfId="2" applyFont="1" applyBorder="1" applyAlignment="1">
      <alignment horizontal="center"/>
    </xf>
    <xf numFmtId="0" fontId="18" fillId="0" borderId="19" xfId="2" applyFont="1" applyBorder="1" applyAlignment="1">
      <alignment horizontal="center"/>
    </xf>
    <xf numFmtId="0" fontId="34" fillId="12" borderId="19" xfId="2" applyFont="1" applyFill="1" applyBorder="1" applyAlignment="1">
      <alignment horizontal="center"/>
    </xf>
    <xf numFmtId="0" fontId="53" fillId="9" borderId="19" xfId="2" applyFont="1" applyFill="1" applyBorder="1" applyAlignment="1">
      <alignment horizontal="left"/>
    </xf>
    <xf numFmtId="0" fontId="53" fillId="9" borderId="19" xfId="2" applyFont="1" applyFill="1" applyBorder="1" applyAlignment="1">
      <alignment horizontal="center"/>
    </xf>
    <xf numFmtId="0" fontId="5" fillId="9" borderId="19" xfId="2" applyFont="1" applyFill="1" applyBorder="1"/>
    <xf numFmtId="3" fontId="53" fillId="9" borderId="19" xfId="2" applyNumberFormat="1" applyFont="1" applyFill="1" applyBorder="1" applyAlignment="1">
      <alignment horizontal="center"/>
    </xf>
    <xf numFmtId="0" fontId="53" fillId="9" borderId="23" xfId="2" applyFont="1" applyFill="1" applyBorder="1" applyAlignment="1">
      <alignment horizontal="left"/>
    </xf>
    <xf numFmtId="0" fontId="53" fillId="0" borderId="23" xfId="2" applyFont="1" applyBorder="1" applyAlignment="1">
      <alignment horizontal="left"/>
    </xf>
    <xf numFmtId="0" fontId="54" fillId="0" borderId="23" xfId="2" applyFont="1" applyBorder="1" applyAlignment="1">
      <alignment horizontal="left"/>
    </xf>
    <xf numFmtId="0" fontId="5" fillId="9" borderId="23" xfId="2" applyFont="1" applyFill="1" applyBorder="1" applyAlignment="1">
      <alignment horizontal="left"/>
    </xf>
    <xf numFmtId="0" fontId="55" fillId="9" borderId="23" xfId="2" applyFont="1" applyFill="1" applyBorder="1" applyAlignment="1">
      <alignment horizontal="left"/>
    </xf>
    <xf numFmtId="0" fontId="5" fillId="0" borderId="23" xfId="2" applyFont="1" applyBorder="1" applyAlignment="1">
      <alignment horizontal="left"/>
    </xf>
    <xf numFmtId="0" fontId="3" fillId="0" borderId="23" xfId="2" applyBorder="1" applyAlignment="1">
      <alignment horizontal="left"/>
    </xf>
    <xf numFmtId="2" fontId="9" fillId="0" borderId="23" xfId="2" applyNumberFormat="1" applyFont="1" applyBorder="1" applyAlignment="1">
      <alignment horizontal="left"/>
    </xf>
    <xf numFmtId="0" fontId="34" fillId="0" borderId="23" xfId="2" applyFont="1" applyBorder="1" applyAlignment="1">
      <alignment horizontal="left"/>
    </xf>
    <xf numFmtId="0" fontId="18" fillId="0" borderId="23" xfId="2" applyFont="1" applyBorder="1" applyAlignment="1">
      <alignment horizontal="left"/>
    </xf>
    <xf numFmtId="0" fontId="34" fillId="12" borderId="23" xfId="2" applyFont="1" applyFill="1" applyBorder="1" applyAlignment="1">
      <alignment horizontal="left"/>
    </xf>
    <xf numFmtId="0" fontId="9" fillId="0" borderId="23" xfId="2" applyFont="1" applyBorder="1" applyAlignment="1">
      <alignment horizontal="left"/>
    </xf>
    <xf numFmtId="2" fontId="54" fillId="0" borderId="23" xfId="2" applyNumberFormat="1" applyFont="1" applyBorder="1" applyAlignment="1">
      <alignment horizontal="left"/>
    </xf>
    <xf numFmtId="165" fontId="9" fillId="0" borderId="23" xfId="2" applyNumberFormat="1" applyFont="1" applyBorder="1" applyAlignment="1">
      <alignment horizontal="left"/>
    </xf>
    <xf numFmtId="165" fontId="53" fillId="9" borderId="23" xfId="2" applyNumberFormat="1" applyFont="1" applyFill="1" applyBorder="1" applyAlignment="1">
      <alignment horizontal="left"/>
    </xf>
    <xf numFmtId="165" fontId="5" fillId="9" borderId="23" xfId="2" applyNumberFormat="1" applyFont="1" applyFill="1" applyBorder="1" applyAlignment="1">
      <alignment horizontal="left"/>
    </xf>
    <xf numFmtId="170" fontId="54" fillId="0" borderId="23" xfId="2" applyNumberFormat="1" applyFont="1" applyBorder="1" applyAlignment="1">
      <alignment horizontal="left"/>
    </xf>
    <xf numFmtId="170" fontId="9" fillId="0" borderId="23" xfId="2" applyNumberFormat="1" applyFont="1" applyBorder="1" applyAlignment="1">
      <alignment horizontal="left"/>
    </xf>
    <xf numFmtId="3" fontId="53" fillId="9" borderId="23" xfId="2" applyNumberFormat="1" applyFont="1" applyFill="1" applyBorder="1" applyAlignment="1">
      <alignment horizontal="left"/>
    </xf>
    <xf numFmtId="0" fontId="34" fillId="0" borderId="18" xfId="2" applyFont="1" applyBorder="1" applyAlignment="1">
      <alignment horizontal="center"/>
    </xf>
    <xf numFmtId="0" fontId="34" fillId="0" borderId="18" xfId="2" applyFont="1" applyBorder="1"/>
    <xf numFmtId="0" fontId="18" fillId="0" borderId="18" xfId="2" applyFont="1" applyBorder="1" applyAlignment="1">
      <alignment horizontal="center"/>
    </xf>
    <xf numFmtId="0" fontId="34" fillId="12" borderId="18" xfId="2" applyFont="1" applyFill="1" applyBorder="1" applyAlignment="1">
      <alignment horizontal="center"/>
    </xf>
    <xf numFmtId="0" fontId="34" fillId="0" borderId="18" xfId="2" applyFont="1" applyBorder="1" applyAlignment="1">
      <alignment horizontal="right"/>
    </xf>
    <xf numFmtId="0" fontId="53" fillId="0" borderId="18" xfId="2" applyFont="1" applyBorder="1" applyAlignment="1">
      <alignment horizontal="left"/>
    </xf>
    <xf numFmtId="0" fontId="53" fillId="0" borderId="18" xfId="2" applyFont="1" applyBorder="1" applyAlignment="1">
      <alignment horizontal="center"/>
    </xf>
    <xf numFmtId="2" fontId="54" fillId="0" borderId="18" xfId="2" applyNumberFormat="1" applyFont="1" applyBorder="1" applyAlignment="1">
      <alignment horizontal="center"/>
    </xf>
    <xf numFmtId="0" fontId="34" fillId="12" borderId="19" xfId="2" applyFont="1" applyFill="1" applyBorder="1"/>
    <xf numFmtId="0" fontId="5" fillId="9" borderId="1" xfId="2" applyFont="1" applyFill="1" applyBorder="1" applyAlignment="1">
      <alignment horizontal="left"/>
    </xf>
    <xf numFmtId="2" fontId="54" fillId="0" borderId="1" xfId="2" applyNumberFormat="1" applyFont="1" applyBorder="1" applyAlignment="1">
      <alignment horizontal="left"/>
    </xf>
    <xf numFmtId="0" fontId="3" fillId="0" borderId="0" xfId="2" applyAlignment="1">
      <alignment horizontal="left"/>
    </xf>
    <xf numFmtId="0" fontId="9" fillId="0" borderId="1" xfId="2" applyFont="1" applyBorder="1" applyAlignment="1">
      <alignment horizontal="left"/>
    </xf>
    <xf numFmtId="0" fontId="5" fillId="9" borderId="19" xfId="2" applyFont="1" applyFill="1" applyBorder="1" applyAlignment="1">
      <alignment horizontal="left"/>
    </xf>
    <xf numFmtId="0" fontId="9" fillId="0" borderId="18" xfId="2" applyFont="1" applyBorder="1" applyAlignment="1">
      <alignment horizontal="left"/>
    </xf>
    <xf numFmtId="2" fontId="9" fillId="0" borderId="18" xfId="2" applyNumberFormat="1" applyFont="1" applyBorder="1" applyAlignment="1">
      <alignment horizontal="left"/>
    </xf>
    <xf numFmtId="0" fontId="4" fillId="9" borderId="1" xfId="2" applyFont="1" applyFill="1" applyBorder="1" applyAlignment="1">
      <alignment horizontal="left"/>
    </xf>
    <xf numFmtId="0" fontId="4" fillId="9" borderId="16" xfId="2" applyFont="1" applyFill="1" applyBorder="1" applyAlignment="1">
      <alignment horizontal="left"/>
    </xf>
    <xf numFmtId="0" fontId="5" fillId="9" borderId="16" xfId="2" applyFont="1" applyFill="1" applyBorder="1" applyAlignment="1">
      <alignment horizontal="left"/>
    </xf>
    <xf numFmtId="0" fontId="9" fillId="0" borderId="19" xfId="2" applyFont="1" applyBorder="1" applyAlignment="1">
      <alignment horizontal="left"/>
    </xf>
    <xf numFmtId="0" fontId="9" fillId="0" borderId="6" xfId="2" applyFont="1" applyBorder="1" applyAlignment="1">
      <alignment horizontal="left"/>
    </xf>
    <xf numFmtId="2" fontId="9" fillId="0" borderId="6" xfId="2" applyNumberFormat="1" applyFont="1" applyBorder="1" applyAlignment="1">
      <alignment horizontal="left"/>
    </xf>
    <xf numFmtId="0" fontId="5" fillId="0" borderId="0" xfId="2" applyFont="1" applyAlignment="1">
      <alignment horizontal="left"/>
    </xf>
    <xf numFmtId="2" fontId="54" fillId="0" borderId="0" xfId="2" applyNumberFormat="1" applyFont="1" applyAlignment="1">
      <alignment horizontal="left"/>
    </xf>
    <xf numFmtId="0" fontId="55" fillId="9" borderId="1" xfId="2" applyFont="1" applyFill="1" applyBorder="1" applyAlignment="1">
      <alignment horizontal="left"/>
    </xf>
    <xf numFmtId="0" fontId="55" fillId="9" borderId="0" xfId="2" applyFont="1" applyFill="1" applyAlignment="1">
      <alignment horizontal="left"/>
    </xf>
    <xf numFmtId="0" fontId="5" fillId="0" borderId="1" xfId="2" applyFont="1" applyBorder="1" applyAlignment="1">
      <alignment horizontal="left"/>
    </xf>
    <xf numFmtId="177" fontId="54" fillId="0" borderId="1" xfId="2" applyNumberFormat="1" applyFont="1" applyBorder="1" applyAlignment="1">
      <alignment horizontal="left"/>
    </xf>
    <xf numFmtId="0" fontId="54" fillId="0" borderId="12" xfId="2" applyFont="1" applyBorder="1" applyAlignment="1">
      <alignment horizontal="left"/>
    </xf>
    <xf numFmtId="2" fontId="54" fillId="0" borderId="18" xfId="2" applyNumberFormat="1" applyFont="1" applyBorder="1" applyAlignment="1">
      <alignment horizontal="left"/>
    </xf>
    <xf numFmtId="0" fontId="3" fillId="0" borderId="37" xfId="2" applyBorder="1" applyAlignment="1">
      <alignment horizontal="left"/>
    </xf>
    <xf numFmtId="3" fontId="53" fillId="0" borderId="0" xfId="2" applyNumberFormat="1" applyFont="1" applyAlignment="1">
      <alignment horizontal="center"/>
    </xf>
    <xf numFmtId="0" fontId="65" fillId="0" borderId="23" xfId="2" applyFont="1" applyBorder="1" applyAlignment="1">
      <alignment horizontal="left"/>
    </xf>
    <xf numFmtId="0" fontId="66" fillId="9" borderId="23" xfId="2" applyFont="1" applyFill="1" applyBorder="1" applyAlignment="1">
      <alignment horizontal="left"/>
    </xf>
    <xf numFmtId="0" fontId="43" fillId="0" borderId="0" xfId="1" applyFont="1" applyAlignment="1">
      <alignment vertical="center" wrapText="1"/>
    </xf>
    <xf numFmtId="0" fontId="43" fillId="0" borderId="0" xfId="1" applyFont="1" applyAlignment="1">
      <alignment vertical="center"/>
    </xf>
    <xf numFmtId="0" fontId="2" fillId="0" borderId="0" xfId="1"/>
    <xf numFmtId="0" fontId="67" fillId="14" borderId="38" xfId="1" applyFont="1" applyFill="1" applyBorder="1" applyAlignment="1">
      <alignment horizontal="left" vertical="center" wrapText="1"/>
    </xf>
    <xf numFmtId="0" fontId="67" fillId="14" borderId="38" xfId="1" applyFont="1" applyFill="1" applyBorder="1" applyAlignment="1">
      <alignment horizontal="left" vertical="center"/>
    </xf>
    <xf numFmtId="0" fontId="67" fillId="14" borderId="38" xfId="1" applyFont="1" applyFill="1" applyBorder="1" applyAlignment="1">
      <alignment horizontal="center" vertical="center"/>
    </xf>
    <xf numFmtId="0" fontId="67" fillId="14" borderId="17" xfId="1" applyFont="1" applyFill="1" applyBorder="1" applyAlignment="1">
      <alignment horizontal="center" vertical="center"/>
    </xf>
    <xf numFmtId="0" fontId="67" fillId="14" borderId="3" xfId="1" applyFont="1" applyFill="1" applyBorder="1" applyAlignment="1">
      <alignment horizontal="center" vertical="center"/>
    </xf>
    <xf numFmtId="0" fontId="67" fillId="0" borderId="0" xfId="1" applyFont="1" applyAlignment="1">
      <alignment horizontal="center" vertical="center"/>
    </xf>
    <xf numFmtId="0" fontId="67" fillId="0" borderId="19" xfId="1" applyFont="1" applyBorder="1" applyAlignment="1">
      <alignment vertical="center" wrapText="1"/>
    </xf>
    <xf numFmtId="0" fontId="67" fillId="0" borderId="19" xfId="1" applyFont="1" applyBorder="1" applyAlignment="1">
      <alignment vertical="center"/>
    </xf>
    <xf numFmtId="1" fontId="43" fillId="0" borderId="19" xfId="1" applyNumberFormat="1" applyFont="1" applyBorder="1" applyAlignment="1">
      <alignment vertical="center"/>
    </xf>
    <xf numFmtId="2" fontId="43" fillId="0" borderId="19" xfId="1" applyNumberFormat="1" applyFont="1" applyBorder="1" applyAlignment="1">
      <alignment vertical="center"/>
    </xf>
    <xf numFmtId="0" fontId="43" fillId="0" borderId="19" xfId="1" applyFont="1" applyBorder="1" applyAlignment="1">
      <alignment vertical="center"/>
    </xf>
    <xf numFmtId="0" fontId="43" fillId="0" borderId="19" xfId="1" applyFont="1" applyBorder="1" applyAlignment="1">
      <alignment horizontal="center" vertical="center"/>
    </xf>
    <xf numFmtId="0" fontId="43" fillId="0" borderId="5" xfId="1" applyFont="1" applyBorder="1" applyAlignment="1">
      <alignment horizontal="center" vertical="center"/>
    </xf>
    <xf numFmtId="0" fontId="49" fillId="0" borderId="0" xfId="1" applyFont="1" applyAlignment="1">
      <alignment vertical="center"/>
    </xf>
    <xf numFmtId="2" fontId="43" fillId="0" borderId="19" xfId="1" applyNumberFormat="1" applyFont="1" applyBorder="1" applyAlignment="1">
      <alignment horizontal="right" vertical="center"/>
    </xf>
    <xf numFmtId="0" fontId="67" fillId="14" borderId="39" xfId="1" applyFont="1" applyFill="1" applyBorder="1" applyAlignment="1">
      <alignment horizontal="left" vertical="center" wrapText="1"/>
    </xf>
    <xf numFmtId="0" fontId="67" fillId="14" borderId="40" xfId="1" applyFont="1" applyFill="1" applyBorder="1" applyAlignment="1">
      <alignment horizontal="left" vertical="center"/>
    </xf>
    <xf numFmtId="0" fontId="67" fillId="14" borderId="41" xfId="1" applyFont="1" applyFill="1" applyBorder="1" applyAlignment="1">
      <alignment horizontal="center" vertical="center"/>
    </xf>
    <xf numFmtId="0" fontId="67" fillId="14" borderId="42" xfId="1" applyFont="1" applyFill="1" applyBorder="1" applyAlignment="1">
      <alignment horizontal="center" vertical="center"/>
    </xf>
    <xf numFmtId="0" fontId="67" fillId="14" borderId="21" xfId="1" applyFont="1" applyFill="1" applyBorder="1" applyAlignment="1">
      <alignment horizontal="center" vertical="center"/>
    </xf>
    <xf numFmtId="0" fontId="67" fillId="14" borderId="40" xfId="1" applyFont="1" applyFill="1" applyBorder="1" applyAlignment="1">
      <alignment horizontal="center" vertical="center"/>
    </xf>
    <xf numFmtId="0" fontId="67" fillId="14" borderId="4" xfId="1" applyFont="1" applyFill="1" applyBorder="1" applyAlignment="1">
      <alignment horizontal="center" vertical="center"/>
    </xf>
    <xf numFmtId="0" fontId="43" fillId="0" borderId="43" xfId="1" applyFont="1" applyBorder="1" applyAlignment="1">
      <alignment vertical="center" wrapText="1"/>
    </xf>
    <xf numFmtId="0" fontId="43" fillId="0" borderId="22" xfId="1" applyFont="1" applyBorder="1" applyAlignment="1">
      <alignment vertical="center"/>
    </xf>
    <xf numFmtId="2" fontId="43" fillId="0" borderId="22" xfId="1" applyNumberFormat="1" applyFont="1" applyBorder="1" applyAlignment="1">
      <alignment horizontal="right" vertical="center"/>
    </xf>
    <xf numFmtId="1" fontId="43" fillId="0" borderId="22" xfId="1" applyNumberFormat="1" applyFont="1" applyBorder="1" applyAlignment="1">
      <alignment horizontal="right" vertical="center"/>
    </xf>
    <xf numFmtId="166" fontId="43" fillId="0" borderId="22" xfId="1" applyNumberFormat="1" applyFont="1" applyBorder="1" applyAlignment="1">
      <alignment horizontal="right" vertical="center"/>
    </xf>
    <xf numFmtId="2" fontId="43" fillId="0" borderId="44" xfId="1" applyNumberFormat="1" applyFont="1" applyBorder="1" applyAlignment="1">
      <alignment horizontal="right" vertical="center"/>
    </xf>
    <xf numFmtId="2" fontId="43" fillId="0" borderId="44" xfId="1" applyNumberFormat="1" applyFont="1" applyBorder="1" applyAlignment="1">
      <alignment horizontal="center" vertical="center"/>
    </xf>
    <xf numFmtId="173" fontId="43" fillId="0" borderId="44" xfId="1" applyNumberFormat="1" applyFont="1" applyBorder="1" applyAlignment="1">
      <alignment horizontal="center" vertical="center"/>
    </xf>
    <xf numFmtId="2" fontId="49" fillId="0" borderId="0" xfId="1" applyNumberFormat="1" applyFont="1" applyAlignment="1">
      <alignment vertical="center"/>
    </xf>
    <xf numFmtId="0" fontId="67" fillId="14" borderId="1" xfId="1" applyFont="1" applyFill="1" applyBorder="1" applyAlignment="1">
      <alignment horizontal="center" vertical="center"/>
    </xf>
    <xf numFmtId="0" fontId="43" fillId="0" borderId="45" xfId="1" applyFont="1" applyBorder="1" applyAlignment="1">
      <alignment horizontal="right" vertical="center"/>
    </xf>
    <xf numFmtId="166" fontId="43" fillId="0" borderId="45" xfId="1" applyNumberFormat="1" applyFont="1" applyBorder="1" applyAlignment="1">
      <alignment horizontal="center" vertical="center"/>
    </xf>
    <xf numFmtId="1" fontId="43" fillId="0" borderId="0" xfId="1" applyNumberFormat="1" applyFont="1" applyAlignment="1">
      <alignment vertical="center"/>
    </xf>
    <xf numFmtId="0" fontId="43" fillId="0" borderId="19" xfId="1" applyFont="1" applyBorder="1" applyAlignment="1">
      <alignment horizontal="right" vertical="center" wrapText="1"/>
    </xf>
    <xf numFmtId="0" fontId="67" fillId="0" borderId="19" xfId="1" applyFont="1" applyBorder="1" applyAlignment="1">
      <alignment horizontal="right" vertical="center"/>
    </xf>
    <xf numFmtId="0" fontId="43" fillId="0" borderId="19" xfId="1" applyFont="1" applyBorder="1" applyAlignment="1">
      <alignment horizontal="right" vertical="center"/>
    </xf>
    <xf numFmtId="1" fontId="43" fillId="0" borderId="46" xfId="1" applyNumberFormat="1" applyFont="1" applyBorder="1" applyAlignment="1">
      <alignment horizontal="right" vertical="center"/>
    </xf>
    <xf numFmtId="0" fontId="43" fillId="0" borderId="46" xfId="1" applyFont="1" applyBorder="1" applyAlignment="1">
      <alignment horizontal="right" vertical="center"/>
    </xf>
    <xf numFmtId="164" fontId="43" fillId="0" borderId="19" xfId="1" applyNumberFormat="1" applyFont="1" applyBorder="1" applyAlignment="1">
      <alignment horizontal="right" vertical="center"/>
    </xf>
    <xf numFmtId="173" fontId="43" fillId="0" borderId="19" xfId="1" applyNumberFormat="1" applyFont="1" applyBorder="1" applyAlignment="1">
      <alignment horizontal="right" vertical="center"/>
    </xf>
    <xf numFmtId="0" fontId="43" fillId="0" borderId="9" xfId="1" applyFont="1" applyBorder="1" applyAlignment="1">
      <alignment horizontal="left" vertical="center" wrapText="1"/>
    </xf>
    <xf numFmtId="0" fontId="43" fillId="0" borderId="10" xfId="1" applyFont="1" applyBorder="1" applyAlignment="1">
      <alignment horizontal="center" vertical="center"/>
    </xf>
    <xf numFmtId="0" fontId="43" fillId="0" borderId="9" xfId="1" applyFont="1" applyBorder="1" applyAlignment="1">
      <alignment vertical="center" wrapText="1"/>
    </xf>
    <xf numFmtId="2" fontId="43" fillId="0" borderId="10" xfId="1" applyNumberFormat="1" applyFont="1" applyBorder="1" applyAlignment="1">
      <alignment horizontal="center" vertical="center"/>
    </xf>
    <xf numFmtId="0" fontId="43" fillId="0" borderId="6" xfId="1" applyFont="1" applyBorder="1" applyAlignment="1">
      <alignment horizontal="center" vertical="center"/>
    </xf>
    <xf numFmtId="0" fontId="67" fillId="0" borderId="48" xfId="1" applyFont="1" applyBorder="1" applyAlignment="1">
      <alignment vertical="center" wrapText="1"/>
    </xf>
    <xf numFmtId="0" fontId="43" fillId="0" borderId="7" xfId="1" applyFont="1" applyBorder="1" applyAlignment="1">
      <alignment horizontal="center" vertical="center"/>
    </xf>
    <xf numFmtId="2" fontId="43" fillId="0" borderId="8" xfId="1" applyNumberFormat="1" applyFont="1" applyBorder="1" applyAlignment="1">
      <alignment horizontal="center" vertical="center"/>
    </xf>
    <xf numFmtId="0" fontId="43" fillId="0" borderId="9" xfId="1" applyFont="1" applyBorder="1" applyAlignment="1">
      <alignment horizontal="center" vertical="center" wrapText="1"/>
    </xf>
    <xf numFmtId="0" fontId="43" fillId="0" borderId="43" xfId="1" applyFont="1" applyBorder="1" applyAlignment="1">
      <alignment horizontal="center" vertical="center" wrapText="1"/>
    </xf>
    <xf numFmtId="2" fontId="43" fillId="0" borderId="6" xfId="1" applyNumberFormat="1" applyFont="1" applyBorder="1" applyAlignment="1">
      <alignment horizontal="center" vertical="center"/>
    </xf>
    <xf numFmtId="0" fontId="43" fillId="0" borderId="50" xfId="1" applyFont="1" applyBorder="1" applyAlignment="1">
      <alignment vertical="center" wrapText="1"/>
    </xf>
    <xf numFmtId="0" fontId="43" fillId="0" borderId="48" xfId="1" applyFont="1" applyBorder="1" applyAlignment="1">
      <alignment vertical="center" wrapText="1"/>
    </xf>
    <xf numFmtId="0" fontId="67" fillId="0" borderId="50" xfId="1" applyFont="1" applyBorder="1" applyAlignment="1">
      <alignment horizontal="left" vertical="center" wrapText="1"/>
    </xf>
    <xf numFmtId="0" fontId="67" fillId="14" borderId="39" xfId="1" applyFont="1" applyFill="1" applyBorder="1" applyAlignment="1">
      <alignment horizontal="center" vertical="center"/>
    </xf>
    <xf numFmtId="0" fontId="67" fillId="0" borderId="43" xfId="1" applyFont="1" applyBorder="1" applyAlignment="1">
      <alignment vertical="center" wrapText="1"/>
    </xf>
    <xf numFmtId="0" fontId="67" fillId="0" borderId="22" xfId="1" applyFont="1" applyBorder="1" applyAlignment="1">
      <alignment horizontal="center" vertical="center"/>
    </xf>
    <xf numFmtId="2" fontId="43" fillId="0" borderId="5" xfId="1" applyNumberFormat="1" applyFont="1" applyBorder="1" applyAlignment="1">
      <alignment vertical="center"/>
    </xf>
    <xf numFmtId="2" fontId="43" fillId="0" borderId="22" xfId="1" applyNumberFormat="1" applyFont="1" applyBorder="1" applyAlignment="1">
      <alignment vertical="center"/>
    </xf>
    <xf numFmtId="177" fontId="43" fillId="0" borderId="22" xfId="1" applyNumberFormat="1" applyFont="1" applyBorder="1" applyAlignment="1">
      <alignment vertical="center"/>
    </xf>
    <xf numFmtId="177" fontId="43" fillId="0" borderId="6" xfId="1" applyNumberFormat="1" applyFont="1" applyBorder="1" applyAlignment="1">
      <alignment vertical="center"/>
    </xf>
    <xf numFmtId="0" fontId="67" fillId="0" borderId="50" xfId="1" applyFont="1" applyBorder="1" applyAlignment="1">
      <alignment vertical="center" wrapText="1"/>
    </xf>
    <xf numFmtId="0" fontId="69" fillId="0" borderId="0" xfId="1" applyFont="1" applyAlignment="1">
      <alignment vertical="center"/>
    </xf>
    <xf numFmtId="0" fontId="67" fillId="16" borderId="50" xfId="1" applyFont="1" applyFill="1" applyBorder="1" applyAlignment="1">
      <alignment horizontal="left" vertical="center" wrapText="1"/>
    </xf>
    <xf numFmtId="0" fontId="67" fillId="17" borderId="39" xfId="1" applyFont="1" applyFill="1" applyBorder="1" applyAlignment="1">
      <alignment horizontal="left" vertical="center" wrapText="1"/>
    </xf>
    <xf numFmtId="0" fontId="67" fillId="17" borderId="40" xfId="1" applyFont="1" applyFill="1" applyBorder="1" applyAlignment="1">
      <alignment horizontal="left" vertical="center"/>
    </xf>
    <xf numFmtId="0" fontId="67" fillId="17" borderId="39" xfId="1" applyFont="1" applyFill="1" applyBorder="1" applyAlignment="1">
      <alignment horizontal="center" vertical="center"/>
    </xf>
    <xf numFmtId="0" fontId="67" fillId="17" borderId="42" xfId="1" applyFont="1" applyFill="1" applyBorder="1" applyAlignment="1">
      <alignment horizontal="center" vertical="center"/>
    </xf>
    <xf numFmtId="0" fontId="67" fillId="17" borderId="41" xfId="1" applyFont="1" applyFill="1" applyBorder="1" applyAlignment="1">
      <alignment horizontal="center" vertical="center"/>
    </xf>
    <xf numFmtId="0" fontId="67" fillId="17" borderId="21" xfId="1" applyFont="1" applyFill="1" applyBorder="1" applyAlignment="1">
      <alignment horizontal="center" vertical="center"/>
    </xf>
    <xf numFmtId="0" fontId="67" fillId="17" borderId="40" xfId="1" applyFont="1" applyFill="1" applyBorder="1" applyAlignment="1">
      <alignment horizontal="center" vertical="center"/>
    </xf>
    <xf numFmtId="0" fontId="67" fillId="17" borderId="3" xfId="1" applyFont="1" applyFill="1" applyBorder="1" applyAlignment="1">
      <alignment horizontal="center" vertical="center"/>
    </xf>
    <xf numFmtId="0" fontId="67" fillId="17" borderId="4" xfId="1" applyFont="1" applyFill="1" applyBorder="1" applyAlignment="1">
      <alignment horizontal="center" vertical="center"/>
    </xf>
    <xf numFmtId="0" fontId="67" fillId="0" borderId="13" xfId="1" applyFont="1" applyBorder="1" applyAlignment="1">
      <alignment horizontal="center" vertical="center" wrapText="1"/>
    </xf>
    <xf numFmtId="0" fontId="43" fillId="0" borderId="5" xfId="1" applyFont="1" applyBorder="1" applyAlignment="1">
      <alignment vertical="center"/>
    </xf>
    <xf numFmtId="2" fontId="43" fillId="0" borderId="22" xfId="1" applyNumberFormat="1" applyFont="1" applyBorder="1" applyAlignment="1">
      <alignment horizontal="center" vertical="center"/>
    </xf>
    <xf numFmtId="0" fontId="49" fillId="0" borderId="0" xfId="1" applyFont="1" applyAlignment="1">
      <alignment vertical="center" wrapText="1"/>
    </xf>
    <xf numFmtId="1" fontId="49" fillId="0" borderId="0" xfId="1" applyNumberFormat="1" applyFont="1" applyAlignment="1">
      <alignment vertical="center"/>
    </xf>
    <xf numFmtId="2" fontId="43" fillId="0" borderId="6" xfId="1" applyNumberFormat="1" applyFont="1" applyBorder="1" applyAlignment="1">
      <alignment vertical="center"/>
    </xf>
    <xf numFmtId="0" fontId="70" fillId="0" borderId="0" xfId="1" applyFont="1" applyAlignment="1">
      <alignment horizontal="right" vertical="center"/>
    </xf>
    <xf numFmtId="0" fontId="42" fillId="0" borderId="0" xfId="1" applyFont="1" applyAlignment="1">
      <alignment vertical="center"/>
    </xf>
    <xf numFmtId="0" fontId="70" fillId="0" borderId="0" xfId="1" applyFont="1" applyAlignment="1">
      <alignment horizontal="center" vertical="center"/>
    </xf>
    <xf numFmtId="0" fontId="70" fillId="0" borderId="1" xfId="1" applyFont="1" applyBorder="1" applyAlignment="1">
      <alignment horizontal="center" vertical="center" wrapText="1"/>
    </xf>
    <xf numFmtId="0" fontId="42" fillId="0" borderId="1" xfId="1" applyFont="1" applyBorder="1" applyAlignment="1">
      <alignment horizontal="center" vertical="center"/>
    </xf>
    <xf numFmtId="0" fontId="42" fillId="0" borderId="18" xfId="1" applyFont="1" applyBorder="1" applyAlignment="1">
      <alignment vertical="center"/>
    </xf>
    <xf numFmtId="0" fontId="70" fillId="0" borderId="12" xfId="1" applyFont="1" applyBorder="1" applyAlignment="1">
      <alignment vertical="center" wrapText="1"/>
    </xf>
    <xf numFmtId="0" fontId="70" fillId="0" borderId="12" xfId="1" applyFont="1" applyBorder="1" applyAlignment="1">
      <alignment vertical="center"/>
    </xf>
    <xf numFmtId="0" fontId="42" fillId="0" borderId="19" xfId="1" applyFont="1" applyBorder="1" applyAlignment="1">
      <alignment vertical="center"/>
    </xf>
    <xf numFmtId="0" fontId="71" fillId="0" borderId="6" xfId="1" applyFont="1" applyBorder="1" applyAlignment="1">
      <alignment vertical="center" wrapText="1"/>
    </xf>
    <xf numFmtId="0" fontId="71" fillId="0" borderId="6" xfId="1" applyFont="1" applyBorder="1" applyAlignment="1">
      <alignment vertical="center"/>
    </xf>
    <xf numFmtId="0" fontId="42" fillId="0" borderId="6" xfId="1" applyFont="1" applyBorder="1" applyAlignment="1">
      <alignment vertical="center"/>
    </xf>
    <xf numFmtId="1" fontId="42" fillId="0" borderId="12" xfId="1" applyNumberFormat="1" applyFont="1" applyBorder="1" applyAlignment="1">
      <alignment horizontal="center" vertical="center"/>
    </xf>
    <xf numFmtId="173" fontId="70" fillId="0" borderId="6" xfId="1" applyNumberFormat="1" applyFont="1" applyBorder="1" applyAlignment="1">
      <alignment horizontal="center" vertical="center"/>
    </xf>
    <xf numFmtId="0" fontId="42" fillId="0" borderId="22" xfId="1" applyFont="1" applyBorder="1" applyAlignment="1">
      <alignment vertical="center"/>
    </xf>
    <xf numFmtId="0" fontId="70" fillId="0" borderId="1" xfId="1" applyFont="1" applyBorder="1"/>
    <xf numFmtId="0" fontId="70" fillId="0" borderId="16" xfId="1" applyFont="1" applyBorder="1"/>
    <xf numFmtId="0" fontId="70" fillId="0" borderId="16" xfId="1" applyFont="1" applyBorder="1" applyAlignment="1">
      <alignment wrapText="1"/>
    </xf>
    <xf numFmtId="0" fontId="42" fillId="0" borderId="18" xfId="1" applyFont="1" applyBorder="1"/>
    <xf numFmtId="0" fontId="42" fillId="0" borderId="12" xfId="1" applyFont="1" applyBorder="1" applyAlignment="1">
      <alignment horizontal="right"/>
    </xf>
    <xf numFmtId="165" fontId="42" fillId="0" borderId="12" xfId="1" applyNumberFormat="1" applyFont="1" applyBorder="1" applyAlignment="1">
      <alignment horizontal="right"/>
    </xf>
    <xf numFmtId="164" fontId="42" fillId="0" borderId="12" xfId="1" applyNumberFormat="1" applyFont="1" applyBorder="1" applyAlignment="1">
      <alignment horizontal="right"/>
    </xf>
    <xf numFmtId="0" fontId="42" fillId="0" borderId="19" xfId="1" applyFont="1" applyBorder="1"/>
    <xf numFmtId="0" fontId="42" fillId="0" borderId="6" xfId="1" applyFont="1" applyBorder="1"/>
    <xf numFmtId="164" fontId="42" fillId="0" borderId="12" xfId="1" applyNumberFormat="1" applyFont="1" applyBorder="1"/>
    <xf numFmtId="164" fontId="42" fillId="0" borderId="6" xfId="1" applyNumberFormat="1" applyFont="1" applyBorder="1" applyAlignment="1">
      <alignment horizontal="right"/>
    </xf>
    <xf numFmtId="0" fontId="43" fillId="0" borderId="0" xfId="1" applyFont="1" applyAlignment="1">
      <alignment horizontal="center" vertical="center"/>
    </xf>
    <xf numFmtId="0" fontId="72" fillId="0" borderId="0" xfId="1" applyFont="1" applyAlignment="1">
      <alignment vertical="center"/>
    </xf>
    <xf numFmtId="0" fontId="43" fillId="0" borderId="0" xfId="1" applyFont="1" applyAlignment="1">
      <alignment horizontal="center" vertical="center" wrapText="1"/>
    </xf>
    <xf numFmtId="0" fontId="49" fillId="0" borderId="0" xfId="1" applyFont="1"/>
    <xf numFmtId="0" fontId="43" fillId="17" borderId="19" xfId="1" applyFont="1" applyFill="1" applyBorder="1" applyAlignment="1">
      <alignment horizontal="center" vertical="center" wrapText="1"/>
    </xf>
    <xf numFmtId="0" fontId="43" fillId="17" borderId="6" xfId="1" applyFont="1" applyFill="1" applyBorder="1" applyAlignment="1">
      <alignment horizontal="center" vertical="center" wrapText="1"/>
    </xf>
    <xf numFmtId="0" fontId="49" fillId="0" borderId="0" xfId="1" applyFont="1" applyAlignment="1">
      <alignment horizontal="center"/>
    </xf>
    <xf numFmtId="0" fontId="43" fillId="0" borderId="19" xfId="1" applyFont="1" applyBorder="1" applyAlignment="1">
      <alignment horizontal="center" vertical="center" wrapText="1"/>
    </xf>
    <xf numFmtId="0" fontId="43" fillId="0" borderId="6" xfId="1" applyFont="1" applyBorder="1" applyAlignment="1">
      <alignment horizontal="center" vertical="center" wrapText="1"/>
    </xf>
    <xf numFmtId="164" fontId="43" fillId="0" borderId="6" xfId="1" applyNumberFormat="1" applyFont="1" applyBorder="1" applyAlignment="1">
      <alignment horizontal="center" vertical="center" wrapText="1"/>
    </xf>
    <xf numFmtId="164" fontId="67" fillId="0" borderId="6" xfId="1" applyNumberFormat="1" applyFont="1" applyBorder="1" applyAlignment="1">
      <alignment horizontal="center" vertical="center" wrapText="1"/>
    </xf>
    <xf numFmtId="0" fontId="43" fillId="0" borderId="0" xfId="1" applyFont="1" applyAlignment="1">
      <alignment horizontal="center"/>
    </xf>
    <xf numFmtId="0" fontId="43" fillId="0" borderId="0" xfId="1" applyFont="1" applyAlignment="1">
      <alignment horizontal="left" vertical="center" wrapText="1"/>
    </xf>
    <xf numFmtId="0" fontId="67" fillId="0" borderId="0" xfId="1" applyFont="1" applyAlignment="1">
      <alignment vertical="center"/>
    </xf>
    <xf numFmtId="0" fontId="67" fillId="0" borderId="0" xfId="1" applyFont="1" applyAlignment="1">
      <alignment horizontal="left" vertical="center" wrapText="1"/>
    </xf>
    <xf numFmtId="0" fontId="75" fillId="0" borderId="1" xfId="1" applyFont="1" applyBorder="1" applyAlignment="1">
      <alignment horizontal="center"/>
    </xf>
    <xf numFmtId="0" fontId="49" fillId="0" borderId="0" xfId="1" applyFont="1" applyAlignment="1">
      <alignment vertical="top" wrapText="1"/>
    </xf>
    <xf numFmtId="0" fontId="49" fillId="0" borderId="18" xfId="1" applyFont="1" applyBorder="1" applyAlignment="1">
      <alignment horizontal="center"/>
    </xf>
    <xf numFmtId="0" fontId="49" fillId="0" borderId="19" xfId="1" applyFont="1" applyBorder="1" applyAlignment="1">
      <alignment horizontal="center"/>
    </xf>
    <xf numFmtId="2" fontId="0" fillId="0" borderId="0" xfId="0" applyNumberFormat="1"/>
    <xf numFmtId="0" fontId="6" fillId="0" borderId="17" xfId="2" applyFont="1" applyBorder="1" applyAlignment="1">
      <alignment horizontal="center"/>
    </xf>
    <xf numFmtId="0" fontId="10" fillId="0" borderId="18" xfId="2" applyFont="1" applyBorder="1"/>
    <xf numFmtId="0" fontId="10" fillId="0" borderId="19" xfId="2" applyFont="1" applyBorder="1"/>
    <xf numFmtId="0" fontId="4" fillId="2" borderId="3" xfId="2" applyFont="1" applyFill="1" applyBorder="1" applyAlignment="1">
      <alignment horizontal="left"/>
    </xf>
    <xf numFmtId="0" fontId="10" fillId="0" borderId="4" xfId="2" applyFont="1" applyBorder="1"/>
    <xf numFmtId="0" fontId="4" fillId="0" borderId="3" xfId="2" applyFont="1" applyBorder="1" applyAlignment="1">
      <alignment horizontal="center" wrapText="1"/>
    </xf>
    <xf numFmtId="0" fontId="10" fillId="0" borderId="21" xfId="2" applyFont="1" applyBorder="1"/>
    <xf numFmtId="0" fontId="10" fillId="0" borderId="15" xfId="2" applyFont="1" applyBorder="1"/>
    <xf numFmtId="0" fontId="4" fillId="0" borderId="2" xfId="2" applyFont="1" applyBorder="1" applyAlignment="1">
      <alignment horizontal="left"/>
    </xf>
    <xf numFmtId="0" fontId="10" fillId="0" borderId="16" xfId="2" applyFont="1" applyBorder="1"/>
    <xf numFmtId="0" fontId="4" fillId="2" borderId="17" xfId="2" applyFont="1" applyFill="1" applyBorder="1" applyAlignment="1">
      <alignment horizontal="center"/>
    </xf>
    <xf numFmtId="0" fontId="4" fillId="2" borderId="17" xfId="2" applyFont="1" applyFill="1" applyBorder="1" applyAlignment="1">
      <alignment horizontal="center" wrapText="1"/>
    </xf>
    <xf numFmtId="0" fontId="4" fillId="2" borderId="3" xfId="2" applyFont="1" applyFill="1" applyBorder="1" applyAlignment="1">
      <alignment horizontal="center"/>
    </xf>
    <xf numFmtId="0" fontId="4" fillId="2" borderId="23" xfId="2" applyFont="1" applyFill="1" applyBorder="1" applyAlignment="1">
      <alignment horizontal="center"/>
    </xf>
    <xf numFmtId="0" fontId="11" fillId="2" borderId="3" xfId="2" applyFont="1" applyFill="1" applyBorder="1" applyAlignment="1">
      <alignment horizontal="center"/>
    </xf>
    <xf numFmtId="0" fontId="11" fillId="2" borderId="21" xfId="2" applyFont="1" applyFill="1" applyBorder="1" applyAlignment="1">
      <alignment horizontal="center"/>
    </xf>
    <xf numFmtId="0" fontId="11" fillId="2" borderId="0" xfId="2" applyFont="1" applyFill="1" applyAlignment="1">
      <alignment horizontal="center"/>
    </xf>
    <xf numFmtId="0" fontId="11" fillId="2" borderId="17" xfId="2" applyFont="1" applyFill="1" applyBorder="1" applyAlignment="1">
      <alignment horizontal="center" wrapText="1"/>
    </xf>
    <xf numFmtId="0" fontId="4" fillId="2" borderId="25" xfId="2" applyFont="1" applyFill="1" applyBorder="1" applyAlignment="1">
      <alignment horizontal="left"/>
    </xf>
    <xf numFmtId="0" fontId="3" fillId="0" borderId="27" xfId="2" applyBorder="1"/>
    <xf numFmtId="0" fontId="3" fillId="0" borderId="26" xfId="2" applyBorder="1"/>
    <xf numFmtId="0" fontId="4" fillId="2" borderId="28" xfId="2" applyFont="1" applyFill="1" applyBorder="1" applyAlignment="1">
      <alignment horizontal="left"/>
    </xf>
    <xf numFmtId="0" fontId="3" fillId="0" borderId="30" xfId="2" applyBorder="1"/>
    <xf numFmtId="0" fontId="4" fillId="2" borderId="2" xfId="2" applyFont="1" applyFill="1" applyBorder="1" applyAlignment="1">
      <alignment horizontal="center"/>
    </xf>
    <xf numFmtId="0" fontId="19" fillId="0" borderId="0" xfId="2" applyFont="1" applyAlignment="1">
      <alignment vertical="center"/>
    </xf>
    <xf numFmtId="0" fontId="3" fillId="0" borderId="0" xfId="2"/>
    <xf numFmtId="0" fontId="19" fillId="0" borderId="0" xfId="2" applyFont="1" applyAlignment="1">
      <alignment horizontal="left" vertical="center" wrapText="1"/>
    </xf>
    <xf numFmtId="0" fontId="15" fillId="0" borderId="0" xfId="2" applyFont="1" applyAlignment="1">
      <alignment horizontal="left" vertical="center" wrapText="1"/>
    </xf>
    <xf numFmtId="0" fontId="22" fillId="2" borderId="17" xfId="2" applyFont="1" applyFill="1" applyBorder="1" applyAlignment="1">
      <alignment horizontal="center"/>
    </xf>
    <xf numFmtId="171" fontId="22" fillId="2" borderId="3" xfId="2" applyNumberFormat="1" applyFont="1" applyFill="1" applyBorder="1" applyAlignment="1">
      <alignment horizontal="center"/>
    </xf>
    <xf numFmtId="0" fontId="10" fillId="0" borderId="5" xfId="2" applyFont="1" applyBorder="1"/>
    <xf numFmtId="0" fontId="10" fillId="0" borderId="6" xfId="2" applyFont="1" applyBorder="1"/>
    <xf numFmtId="172" fontId="22" fillId="2" borderId="3" xfId="2" applyNumberFormat="1" applyFont="1" applyFill="1" applyBorder="1" applyAlignment="1">
      <alignment horizontal="center"/>
    </xf>
    <xf numFmtId="0" fontId="10" fillId="0" borderId="22" xfId="2" applyFont="1" applyBorder="1"/>
    <xf numFmtId="0" fontId="26" fillId="0" borderId="23" xfId="2" applyFont="1" applyBorder="1" applyAlignment="1">
      <alignment horizontal="left" vertical="top" wrapText="1"/>
    </xf>
    <xf numFmtId="0" fontId="10" fillId="0" borderId="23" xfId="2" applyFont="1" applyBorder="1"/>
    <xf numFmtId="0" fontId="29" fillId="0" borderId="0" xfId="2" applyFont="1"/>
    <xf numFmtId="0" fontId="25" fillId="0" borderId="0" xfId="2" applyFont="1" applyAlignment="1">
      <alignment horizontal="left" vertical="top" wrapText="1"/>
    </xf>
    <xf numFmtId="0" fontId="31" fillId="0" borderId="0" xfId="2" applyFont="1" applyAlignment="1">
      <alignment horizontal="left" vertical="top"/>
    </xf>
    <xf numFmtId="0" fontId="25" fillId="0" borderId="0" xfId="2" applyFont="1" applyAlignment="1">
      <alignment horizontal="left" wrapText="1"/>
    </xf>
    <xf numFmtId="0" fontId="28" fillId="0" borderId="0" xfId="2" applyFont="1"/>
    <xf numFmtId="0" fontId="45" fillId="6" borderId="2" xfId="2" applyFont="1" applyFill="1" applyBorder="1" applyAlignment="1">
      <alignment horizontal="center"/>
    </xf>
    <xf numFmtId="0" fontId="22" fillId="2" borderId="0" xfId="2" applyFont="1" applyFill="1" applyAlignment="1">
      <alignment horizontal="center"/>
    </xf>
    <xf numFmtId="0" fontId="9" fillId="0" borderId="0" xfId="2" applyFont="1" applyAlignment="1">
      <alignment wrapText="1"/>
    </xf>
    <xf numFmtId="0" fontId="23" fillId="2" borderId="0" xfId="2" applyFont="1" applyFill="1" applyAlignment="1">
      <alignment horizontal="center"/>
    </xf>
    <xf numFmtId="0" fontId="23" fillId="0" borderId="0" xfId="2" applyFont="1" applyAlignment="1">
      <alignment horizontal="center"/>
    </xf>
    <xf numFmtId="0" fontId="34" fillId="0" borderId="0" xfId="2" applyFont="1"/>
    <xf numFmtId="0" fontId="36" fillId="0" borderId="0" xfId="2" applyFont="1" applyAlignment="1">
      <alignment wrapText="1"/>
    </xf>
    <xf numFmtId="0" fontId="45" fillId="7" borderId="23" xfId="2" applyFont="1" applyFill="1" applyBorder="1" applyAlignment="1">
      <alignment horizontal="center"/>
    </xf>
    <xf numFmtId="0" fontId="10" fillId="7" borderId="23" xfId="2" applyFont="1" applyFill="1" applyBorder="1"/>
    <xf numFmtId="0" fontId="22" fillId="7" borderId="23" xfId="2" applyFont="1" applyFill="1" applyBorder="1" applyAlignment="1">
      <alignment horizontal="center"/>
    </xf>
    <xf numFmtId="0" fontId="43" fillId="0" borderId="0" xfId="2" applyFont="1" applyAlignment="1">
      <alignment wrapText="1"/>
    </xf>
    <xf numFmtId="0" fontId="44" fillId="0" borderId="0" xfId="2" applyFont="1" applyAlignment="1">
      <alignment horizontal="left" wrapText="1"/>
    </xf>
    <xf numFmtId="0" fontId="2" fillId="0" borderId="0" xfId="2" applyFont="1" applyAlignment="1">
      <alignment horizontal="left"/>
    </xf>
    <xf numFmtId="0" fontId="49" fillId="0" borderId="0" xfId="2" applyFont="1" applyAlignment="1">
      <alignment horizontal="left" wrapText="1"/>
    </xf>
    <xf numFmtId="0" fontId="9" fillId="0" borderId="0" xfId="2" applyFont="1" applyAlignment="1">
      <alignment horizontal="left" wrapText="1"/>
    </xf>
    <xf numFmtId="0" fontId="11" fillId="7" borderId="2" xfId="2" applyFont="1" applyFill="1" applyBorder="1" applyAlignment="1">
      <alignment horizontal="center"/>
    </xf>
    <xf numFmtId="0" fontId="10" fillId="7" borderId="15" xfId="2" applyFont="1" applyFill="1" applyBorder="1"/>
    <xf numFmtId="0" fontId="10" fillId="7" borderId="16" xfId="2" applyFont="1" applyFill="1" applyBorder="1"/>
    <xf numFmtId="0" fontId="50" fillId="7" borderId="22" xfId="2" applyFont="1" applyFill="1" applyBorder="1" applyAlignment="1">
      <alignment horizontal="center"/>
    </xf>
    <xf numFmtId="0" fontId="10" fillId="7" borderId="22" xfId="2" applyFont="1" applyFill="1" applyBorder="1"/>
    <xf numFmtId="0" fontId="10" fillId="7" borderId="6" xfId="2" applyFont="1" applyFill="1" applyBorder="1"/>
    <xf numFmtId="0" fontId="15" fillId="0" borderId="0" xfId="2" applyFont="1" applyAlignment="1">
      <alignment wrapText="1"/>
    </xf>
    <xf numFmtId="0" fontId="3" fillId="0" borderId="0" xfId="2" applyAlignment="1">
      <alignment wrapText="1"/>
    </xf>
    <xf numFmtId="0" fontId="52" fillId="0" borderId="0" xfId="2" applyFont="1" applyAlignment="1">
      <alignment horizontal="left" vertical="top" wrapText="1"/>
    </xf>
    <xf numFmtId="0" fontId="22" fillId="2" borderId="2" xfId="2" applyFont="1" applyFill="1" applyBorder="1" applyAlignment="1">
      <alignment horizontal="center"/>
    </xf>
    <xf numFmtId="171" fontId="22" fillId="2" borderId="2" xfId="2" applyNumberFormat="1" applyFont="1" applyFill="1" applyBorder="1" applyAlignment="1">
      <alignment horizontal="center"/>
    </xf>
    <xf numFmtId="0" fontId="53" fillId="9" borderId="3" xfId="2" applyFont="1" applyFill="1" applyBorder="1" applyAlignment="1">
      <alignment horizontal="left"/>
    </xf>
    <xf numFmtId="0" fontId="53" fillId="9" borderId="17" xfId="2" applyFont="1" applyFill="1" applyBorder="1" applyAlignment="1">
      <alignment horizontal="center"/>
    </xf>
    <xf numFmtId="0" fontId="53" fillId="9" borderId="2" xfId="2" applyFont="1" applyFill="1" applyBorder="1" applyAlignment="1">
      <alignment horizontal="center"/>
    </xf>
    <xf numFmtId="0" fontId="53" fillId="0" borderId="0" xfId="2" applyFont="1"/>
    <xf numFmtId="0" fontId="53" fillId="9" borderId="17" xfId="2" applyFont="1" applyFill="1" applyBorder="1" applyAlignment="1">
      <alignment horizontal="left"/>
    </xf>
    <xf numFmtId="0" fontId="57" fillId="0" borderId="0" xfId="2" applyFont="1" applyAlignment="1">
      <alignment wrapText="1"/>
    </xf>
    <xf numFmtId="0" fontId="54" fillId="0" borderId="0" xfId="2" applyFont="1" applyAlignment="1">
      <alignment horizontal="left" wrapText="1"/>
    </xf>
    <xf numFmtId="0" fontId="56" fillId="0" borderId="0" xfId="2" applyFont="1" applyAlignment="1">
      <alignment wrapText="1"/>
    </xf>
    <xf numFmtId="0" fontId="56" fillId="0" borderId="0" xfId="2" applyFont="1"/>
    <xf numFmtId="0" fontId="53" fillId="9" borderId="15" xfId="2" applyFont="1" applyFill="1" applyBorder="1" applyAlignment="1">
      <alignment horizontal="center"/>
    </xf>
    <xf numFmtId="0" fontId="56" fillId="0" borderId="0" xfId="2" applyFont="1" applyAlignment="1">
      <alignment horizontal="left"/>
    </xf>
    <xf numFmtId="0" fontId="54" fillId="0" borderId="0" xfId="2" applyFont="1" applyAlignment="1">
      <alignment horizontal="left" vertical="top"/>
    </xf>
    <xf numFmtId="0" fontId="53" fillId="0" borderId="0" xfId="2" applyFont="1" applyAlignment="1">
      <alignment wrapText="1"/>
    </xf>
    <xf numFmtId="0" fontId="18" fillId="0" borderId="18" xfId="2" applyFont="1" applyBorder="1" applyAlignment="1">
      <alignment horizontal="left"/>
    </xf>
    <xf numFmtId="0" fontId="18" fillId="0" borderId="17" xfId="2" applyFont="1" applyBorder="1" applyAlignment="1">
      <alignment horizontal="center"/>
    </xf>
    <xf numFmtId="0" fontId="34" fillId="12" borderId="17" xfId="2" applyFont="1" applyFill="1" applyBorder="1" applyAlignment="1">
      <alignment horizontal="center"/>
    </xf>
    <xf numFmtId="0" fontId="67" fillId="15" borderId="40" xfId="1" applyFont="1" applyFill="1" applyBorder="1" applyAlignment="1">
      <alignment horizontal="center" vertical="center"/>
    </xf>
    <xf numFmtId="0" fontId="68" fillId="0" borderId="47" xfId="1" applyFont="1" applyBorder="1"/>
    <xf numFmtId="0" fontId="67" fillId="15" borderId="49" xfId="1" applyFont="1" applyFill="1" applyBorder="1" applyAlignment="1">
      <alignment horizontal="center" vertical="center" wrapText="1"/>
    </xf>
    <xf numFmtId="0" fontId="70" fillId="0" borderId="2" xfId="1" applyFont="1" applyBorder="1" applyAlignment="1">
      <alignment horizontal="center" vertical="center"/>
    </xf>
    <xf numFmtId="0" fontId="68" fillId="0" borderId="15" xfId="1" applyFont="1" applyBorder="1"/>
    <xf numFmtId="0" fontId="68" fillId="0" borderId="16" xfId="1" applyFont="1" applyBorder="1"/>
    <xf numFmtId="1" fontId="42" fillId="0" borderId="12" xfId="1" applyNumberFormat="1" applyFont="1" applyBorder="1" applyAlignment="1">
      <alignment horizontal="center" vertical="center"/>
    </xf>
    <xf numFmtId="0" fontId="68" fillId="0" borderId="12" xfId="1" applyFont="1" applyBorder="1"/>
    <xf numFmtId="0" fontId="68" fillId="0" borderId="6" xfId="1" applyFont="1" applyBorder="1"/>
    <xf numFmtId="170" fontId="42" fillId="0" borderId="12" xfId="1" applyNumberFormat="1" applyFont="1" applyBorder="1" applyAlignment="1">
      <alignment horizontal="center" vertical="center"/>
    </xf>
    <xf numFmtId="2" fontId="42" fillId="0" borderId="12" xfId="1" applyNumberFormat="1" applyFont="1" applyBorder="1" applyAlignment="1">
      <alignment horizontal="center" vertical="center"/>
    </xf>
    <xf numFmtId="0" fontId="49" fillId="0" borderId="12" xfId="1" applyFont="1" applyBorder="1" applyAlignment="1">
      <alignment horizontal="center" vertical="center"/>
    </xf>
    <xf numFmtId="0" fontId="42" fillId="0" borderId="5" xfId="1" applyFont="1" applyBorder="1" applyAlignment="1">
      <alignment horizontal="center"/>
    </xf>
    <xf numFmtId="0" fontId="68" fillId="0" borderId="22" xfId="1" applyFont="1" applyBorder="1"/>
    <xf numFmtId="0" fontId="72" fillId="0" borderId="0" xfId="1" applyFont="1" applyAlignment="1">
      <alignment vertical="center"/>
    </xf>
    <xf numFmtId="0" fontId="2" fillId="0" borderId="0" xfId="1"/>
    <xf numFmtId="0" fontId="67" fillId="17" borderId="17" xfId="1" applyFont="1" applyFill="1" applyBorder="1" applyAlignment="1">
      <alignment horizontal="center" vertical="center" wrapText="1"/>
    </xf>
    <xf numFmtId="0" fontId="68" fillId="0" borderId="19" xfId="1" applyFont="1" applyBorder="1"/>
    <xf numFmtId="0" fontId="67" fillId="17" borderId="2" xfId="1" applyFont="1" applyFill="1" applyBorder="1" applyAlignment="1">
      <alignment horizontal="center" vertical="center" wrapText="1"/>
    </xf>
    <xf numFmtId="0" fontId="67" fillId="17" borderId="15" xfId="1" applyFont="1" applyFill="1" applyBorder="1" applyAlignment="1">
      <alignment horizontal="center" vertical="center" wrapText="1"/>
    </xf>
    <xf numFmtId="0" fontId="49" fillId="0" borderId="0" xfId="1" applyFont="1" applyAlignment="1">
      <alignment vertical="center"/>
    </xf>
    <xf numFmtId="0" fontId="73" fillId="0" borderId="0" xfId="1" applyFont="1" applyAlignment="1">
      <alignment horizontal="left" vertical="center"/>
    </xf>
    <xf numFmtId="0" fontId="43" fillId="0" borderId="0" xfId="1" applyFont="1" applyAlignment="1">
      <alignment horizontal="left" vertical="center" wrapText="1"/>
    </xf>
    <xf numFmtId="0" fontId="43" fillId="0" borderId="2" xfId="1" applyFont="1" applyBorder="1" applyAlignment="1">
      <alignment horizontal="center" vertical="center"/>
    </xf>
    <xf numFmtId="0" fontId="43" fillId="0" borderId="22" xfId="1" applyFont="1" applyBorder="1" applyAlignment="1">
      <alignment horizontal="center" vertical="center"/>
    </xf>
    <xf numFmtId="0" fontId="75" fillId="15" borderId="2" xfId="1" applyFont="1" applyFill="1" applyBorder="1" applyAlignment="1">
      <alignment horizontal="center" wrapText="1"/>
    </xf>
    <xf numFmtId="0" fontId="75" fillId="15" borderId="15" xfId="1" applyFont="1" applyFill="1" applyBorder="1" applyAlignment="1">
      <alignment horizontal="center" wrapText="1"/>
    </xf>
    <xf numFmtId="1" fontId="0" fillId="0" borderId="0" xfId="0" applyNumberFormat="1"/>
    <xf numFmtId="2" fontId="0" fillId="0" borderId="0" xfId="0" applyNumberFormat="1" applyAlignment="1">
      <alignment horizontal="center" vertical="center"/>
    </xf>
  </cellXfs>
  <cellStyles count="3">
    <cellStyle name="Normal" xfId="0" builtinId="0"/>
    <cellStyle name="Normal 2" xfId="1" xr:uid="{4028CE9E-8C3B-4B07-BA81-69CDAAEB1033}"/>
    <cellStyle name="Normal 3" xfId="2" xr:uid="{28443D4D-57C1-44AB-AA72-22E83DC33C53}"/>
  </cellStyles>
  <dxfs count="7">
    <dxf>
      <numFmt numFmtId="173" formatCode="0.0"/>
    </dxf>
    <dxf>
      <numFmt numFmtId="1" formatCode="0"/>
    </dxf>
    <dxf>
      <numFmt numFmtId="2" formatCode="0.00"/>
    </dxf>
    <dxf>
      <numFmt numFmtId="174" formatCode="0.0000000"/>
    </dxf>
    <dxf>
      <numFmt numFmtId="174" formatCode="0.0000000"/>
    </dxf>
    <dxf>
      <numFmt numFmtId="174" formatCode="0.0000000"/>
    </dxf>
    <dxf>
      <numFmt numFmtId="174" formatCode="0.000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SUDHA" refreshedDate="46134.48586724537" createdVersion="8" refreshedVersion="8" minRefreshableVersion="3" recordCount="37" xr:uid="{6E3F5A68-1BF9-4AF8-982E-039707D94278}">
  <cacheSource type="worksheet">
    <worksheetSource ref="A1:Z38" sheet="GHG Emissions"/>
  </cacheSource>
  <cacheFields count="26">
    <cacheField name="Level 1" numFmtId="0">
      <sharedItems/>
    </cacheField>
    <cacheField name="Level 2" numFmtId="0">
      <sharedItems count="3">
        <s v="Industrial Wastewater"/>
        <s v="Domestic Wastewater"/>
        <s v="Solid Waste Disposal"/>
      </sharedItems>
    </cacheField>
    <cacheField name="Level 3" numFmtId="0">
      <sharedItems containsBlank="1" count="9">
        <s v="Petroleum"/>
        <s v="Dairy"/>
        <s v="Meat"/>
        <s v="Pulp &amp; Paper"/>
        <s v="Rubber"/>
        <s v="Tannery"/>
        <s v="Fish processing"/>
        <m/>
        <s v="Fertilizers" u="1"/>
      </sharedItems>
    </cacheField>
    <cacheField name="Emission / Removal / Bunker" numFmtId="0">
      <sharedItems count="1">
        <s v="Emissions"/>
      </sharedItems>
    </cacheField>
    <cacheField name="Gas" numFmtId="0">
      <sharedItems count="5">
        <s v="CH4 (t)"/>
        <s v="CO2e (t) GWP-AR2"/>
        <s v="CO2e (t) GWP-AR6"/>
        <s v="CO2e (t) GTP-AR6"/>
        <s v="N2O (t)"/>
      </sharedItems>
    </cacheField>
    <cacheField name="State" numFmtId="0">
      <sharedItems/>
    </cacheField>
    <cacheField name="Economic Activity" numFmtId="0">
      <sharedItems/>
    </cacheField>
    <cacheField name="2005" numFmtId="177">
      <sharedItems containsSemiMixedTypes="0" containsString="0" containsNumber="1" minValue="0" maxValue="3142763.2781341607"/>
    </cacheField>
    <cacheField name="2006" numFmtId="177">
      <sharedItems containsSemiMixedTypes="0" containsString="0" containsNumber="1" minValue="0" maxValue="2789292.3995573157"/>
    </cacheField>
    <cacheField name="2007" numFmtId="177">
      <sharedItems containsSemiMixedTypes="0" containsString="0" containsNumber="1" minValue="0" maxValue="2493871.6103853937"/>
    </cacheField>
    <cacheField name="2008" numFmtId="177">
      <sharedItems containsSemiMixedTypes="0" containsString="0" containsNumber="1" minValue="0" maxValue="2252735.7845212645"/>
    </cacheField>
    <cacheField name="2009" numFmtId="177">
      <sharedItems containsSemiMixedTypes="0" containsString="0" containsNumber="1" minValue="0" maxValue="2185001.0575984418"/>
    </cacheField>
    <cacheField name="2010" numFmtId="177">
      <sharedItems containsSemiMixedTypes="0" containsString="0" containsNumber="1" minValue="0" maxValue="2184577.7036282835"/>
    </cacheField>
    <cacheField name="2011" numFmtId="177">
      <sharedItems containsSemiMixedTypes="0" containsString="0" containsNumber="1" minValue="0" maxValue="2131236.4011102617"/>
    </cacheField>
    <cacheField name="2012" numFmtId="177">
      <sharedItems containsSemiMixedTypes="0" containsString="0" containsNumber="1" minValue="0" maxValue="2130667.1431349362"/>
    </cacheField>
    <cacheField name="2013" numFmtId="177">
      <sharedItems containsSemiMixedTypes="0" containsString="0" containsNumber="1" minValue="0" maxValue="2130227.6388824214"/>
    </cacheField>
    <cacheField name="2014" numFmtId="177">
      <sharedItems containsSemiMixedTypes="0" containsString="0" containsNumber="1" minValue="0" maxValue="2129978.7887673443"/>
    </cacheField>
    <cacheField name="2015" numFmtId="177">
      <sharedItems containsSemiMixedTypes="0" containsString="0" containsNumber="1" minValue="0" maxValue="2173008.0498315613"/>
    </cacheField>
    <cacheField name="2016" numFmtId="177">
      <sharedItems containsSemiMixedTypes="0" containsString="0" containsNumber="1" minValue="0" maxValue="2337138.8878641487"/>
    </cacheField>
    <cacheField name="2017" numFmtId="177">
      <sharedItems containsSemiMixedTypes="0" containsString="0" containsNumber="1" minValue="0" maxValue="2526756.1134464098"/>
    </cacheField>
    <cacheField name="2018" numFmtId="177">
      <sharedItems containsSemiMixedTypes="0" containsString="0" containsNumber="1" minValue="0" maxValue="2167133.009382009"/>
    </cacheField>
    <cacheField name="2019" numFmtId="177">
      <sharedItems containsSemiMixedTypes="0" containsString="0" containsNumber="1" minValue="0" maxValue="2178420.4834886258"/>
    </cacheField>
    <cacheField name="2020" numFmtId="177">
      <sharedItems containsSemiMixedTypes="0" containsString="0" containsNumber="1" minValue="0" maxValue="2189707.9575952431"/>
    </cacheField>
    <cacheField name="2021" numFmtId="177">
      <sharedItems containsSemiMixedTypes="0" containsString="0" containsNumber="1" minValue="0" maxValue="2200995.4317018604"/>
    </cacheField>
    <cacheField name="2022" numFmtId="177">
      <sharedItems containsSemiMixedTypes="0" containsString="0" containsNumber="1" minValue="0" maxValue="2209926.1804455579"/>
    </cacheField>
    <cacheField name="2023" numFmtId="177">
      <sharedItems containsSemiMixedTypes="0" containsString="0" containsNumber="1" minValue="0" maxValue="2218794.910100757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s v="Waste"/>
    <x v="0"/>
    <x v="0"/>
    <x v="0"/>
    <x v="0"/>
    <s v="Kerala"/>
    <s v="Waste"/>
    <n v="379.59173845588231"/>
    <n v="401.37126239569085"/>
    <n v="424.0402965954172"/>
    <n v="370.84488756668941"/>
    <n v="386.73477539158682"/>
    <n v="426.84360165697672"/>
    <n v="458.09775760772908"/>
    <n v="488.83977128761961"/>
    <n v="508.67854556942541"/>
    <n v="524.52800110978103"/>
    <n v="543.03251000170997"/>
    <n v="589.57006950923392"/>
    <n v="682.79344023426802"/>
    <n v="779.42660028898752"/>
    <n v="832.86460302496573"/>
    <n v="719.19597374999989"/>
    <n v="750.26144570622421"/>
    <n v="795.48483857734232"/>
    <n v="824.42096586129423"/>
  </r>
  <r>
    <s v="Waste"/>
    <x v="0"/>
    <x v="0"/>
    <x v="0"/>
    <x v="1"/>
    <s v="Kerala"/>
    <s v="Waste"/>
    <n v="7971.4265075735284"/>
    <n v="8428.7965103095084"/>
    <n v="8904.8462285037604"/>
    <n v="7787.7426389004777"/>
    <n v="8121.4302832233234"/>
    <n v="8963.7156347965101"/>
    <n v="9620.0529097623112"/>
    <n v="10265.635197040012"/>
    <n v="10682.249456957934"/>
    <n v="11015.088023305401"/>
    <n v="11403.68271003591"/>
    <n v="12380.971459693912"/>
    <n v="14338.662244919629"/>
    <n v="16367.958606068738"/>
    <n v="17490.156663524282"/>
    <n v="15103.115448749997"/>
    <n v="15755.490359830708"/>
    <n v="16705.181610124189"/>
    <n v="17312.840283087178"/>
  </r>
  <r>
    <s v="Waste"/>
    <x v="0"/>
    <x v="0"/>
    <x v="0"/>
    <x v="2"/>
    <s v="Kerala"/>
    <s v="Waste"/>
    <n v="10590.609502919116"/>
    <n v="11198.258220839774"/>
    <n v="11830.724275012139"/>
    <n v="10346.572363110634"/>
    <n v="10789.900233425271"/>
    <n v="11908.93648622965"/>
    <n v="12780.927437255641"/>
    <n v="13638.629618924586"/>
    <n v="14192.131421386968"/>
    <n v="14634.331230962889"/>
    <n v="15150.607029047707"/>
    <n v="16449.004939307626"/>
    <n v="19049.936982536077"/>
    <n v="21746.002148062751"/>
    <n v="23236.922424396544"/>
    <n v="20065.567667624997"/>
    <n v="20932.294335203653"/>
    <n v="22194.02699630785"/>
    <n v="23001.344947530109"/>
  </r>
  <r>
    <s v="Waste"/>
    <x v="0"/>
    <x v="0"/>
    <x v="0"/>
    <x v="3"/>
    <s v="Kerala"/>
    <s v="Waste"/>
    <n v="2042.2035528926467"/>
    <n v="2159.3773916888167"/>
    <n v="2281.3367956833445"/>
    <n v="1995.145495108789"/>
    <n v="2080.6330916067373"/>
    <n v="2296.4185769145347"/>
    <n v="2464.5659359295823"/>
    <n v="2629.9579695273933"/>
    <n v="2736.6905751635086"/>
    <n v="2821.960645970622"/>
    <n v="2921.5149038091995"/>
    <n v="3171.8869739596785"/>
    <n v="3673.428708460362"/>
    <n v="4193.3151095547528"/>
    <n v="4480.811564274316"/>
    <n v="3869.2743387749993"/>
    <n v="4036.4065778994864"/>
    <n v="4279.7084315461016"/>
    <n v="4435.384796333763"/>
  </r>
  <r>
    <s v="Waste"/>
    <x v="0"/>
    <x v="1"/>
    <x v="0"/>
    <x v="0"/>
    <s v="Kerala"/>
    <s v="Waste"/>
    <n v="64.858153062500008"/>
    <n v="64.858153062500008"/>
    <n v="64.858153062500008"/>
    <n v="64.858153062500008"/>
    <n v="64.858153062500008"/>
    <n v="64.858153062500008"/>
    <n v="64.858153062500008"/>
    <n v="64.858153062500008"/>
    <n v="64.858153062500008"/>
    <n v="64.858153062500008"/>
    <n v="64.858153062500008"/>
    <n v="64.858153062500008"/>
    <n v="64.858153062500008"/>
    <n v="64.858153062500008"/>
    <n v="64.858153062500008"/>
    <n v="64.858153062500008"/>
    <n v="64.858153062500008"/>
    <n v="64.858153062500008"/>
    <n v="64.858153062500008"/>
  </r>
  <r>
    <s v="Waste"/>
    <x v="0"/>
    <x v="1"/>
    <x v="0"/>
    <x v="1"/>
    <s v="Kerala"/>
    <s v="Waste"/>
    <n v="1362.0212143125002"/>
    <n v="1362.0212143125002"/>
    <n v="1362.0212143125002"/>
    <n v="1362.0212143125002"/>
    <n v="1362.0212143125002"/>
    <n v="1362.0212143125002"/>
    <n v="1362.0212143125002"/>
    <n v="1362.0212143125002"/>
    <n v="1362.0212143125002"/>
    <n v="1362.0212143125002"/>
    <n v="1362.0212143125002"/>
    <n v="1362.0212143125002"/>
    <n v="1362.0212143125002"/>
    <n v="1362.0212143125002"/>
    <n v="1362.0212143125002"/>
    <n v="1362.0212143125002"/>
    <n v="1362.0212143125002"/>
    <n v="1362.0212143125002"/>
    <n v="1362.0212143125002"/>
  </r>
  <r>
    <s v="Waste"/>
    <x v="0"/>
    <x v="1"/>
    <x v="0"/>
    <x v="2"/>
    <s v="Kerala"/>
    <s v="Waste"/>
    <n v="1809.5424704437501"/>
    <n v="1809.5424704437501"/>
    <n v="1809.5424704437501"/>
    <n v="1809.5424704437501"/>
    <n v="1809.5424704437501"/>
    <n v="1809.5424704437501"/>
    <n v="1809.5424704437501"/>
    <n v="1809.5424704437501"/>
    <n v="1809.5424704437501"/>
    <n v="1809.5424704437501"/>
    <n v="1809.5424704437501"/>
    <n v="1809.5424704437501"/>
    <n v="1809.5424704437501"/>
    <n v="1809.5424704437501"/>
    <n v="1809.5424704437501"/>
    <n v="1809.5424704437501"/>
    <n v="1809.5424704437501"/>
    <n v="1809.5424704437501"/>
    <n v="1809.5424704437501"/>
  </r>
  <r>
    <s v="Waste"/>
    <x v="0"/>
    <x v="1"/>
    <x v="0"/>
    <x v="3"/>
    <s v="Kerala"/>
    <s v="Waste"/>
    <n v="348.93686347625004"/>
    <n v="348.93686347625004"/>
    <n v="348.93686347625004"/>
    <n v="348.93686347625004"/>
    <n v="348.93686347625004"/>
    <n v="348.93686347625004"/>
    <n v="348.93686347625004"/>
    <n v="348.93686347625004"/>
    <n v="348.93686347625004"/>
    <n v="348.93686347625004"/>
    <n v="348.93686347625004"/>
    <n v="348.93686347625004"/>
    <n v="348.93686347625004"/>
    <n v="348.93686347625004"/>
    <n v="348.93686347625004"/>
    <n v="348.93686347625004"/>
    <n v="348.93686347625004"/>
    <n v="348.93686347625004"/>
    <n v="348.93686347625004"/>
  </r>
  <r>
    <s v="Waste"/>
    <x v="0"/>
    <x v="2"/>
    <x v="0"/>
    <x v="0"/>
    <s v="Kerala"/>
    <s v="Waste"/>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n v="0.62543000000000004"/>
  </r>
  <r>
    <s v="Waste"/>
    <x v="0"/>
    <x v="2"/>
    <x v="0"/>
    <x v="1"/>
    <s v="Kerala"/>
    <s v="Waste"/>
    <n v="13.134030000000001"/>
    <n v="13.134030000000001"/>
    <n v="13.134030000000001"/>
    <n v="13.134030000000001"/>
    <n v="13.134030000000001"/>
    <n v="13.134030000000001"/>
    <n v="13.134030000000001"/>
    <n v="13.134030000000001"/>
    <n v="13.134030000000001"/>
    <n v="13.134030000000001"/>
    <n v="13.134030000000001"/>
    <n v="13.134030000000001"/>
    <n v="13.134030000000001"/>
    <n v="13.134030000000001"/>
    <n v="13.134030000000001"/>
    <n v="13.134030000000001"/>
    <n v="13.134030000000001"/>
    <n v="13.134030000000001"/>
    <n v="13.134030000000001"/>
  </r>
  <r>
    <s v="Waste"/>
    <x v="0"/>
    <x v="2"/>
    <x v="0"/>
    <x v="2"/>
    <s v="Kerala"/>
    <s v="Waste"/>
    <n v="17.449497000000001"/>
    <n v="17.449497000000001"/>
    <n v="17.449497000000001"/>
    <n v="17.449497000000001"/>
    <n v="17.449497000000001"/>
    <n v="17.449497000000001"/>
    <n v="17.449497000000001"/>
    <n v="17.449497000000001"/>
    <n v="17.449497000000001"/>
    <n v="17.449497000000001"/>
    <n v="17.449497000000001"/>
    <n v="17.449497000000001"/>
    <n v="17.449497000000001"/>
    <n v="17.449497000000001"/>
    <n v="17.449497000000001"/>
    <n v="17.449497000000001"/>
    <n v="17.449497000000001"/>
    <n v="17.449497000000001"/>
    <n v="17.449497000000001"/>
  </r>
  <r>
    <s v="Waste"/>
    <x v="0"/>
    <x v="2"/>
    <x v="0"/>
    <x v="3"/>
    <s v="Kerala"/>
    <s v="Waste"/>
    <n v="3.3648134000000001"/>
    <n v="3.3648134000000001"/>
    <n v="3.3648134000000001"/>
    <n v="3.3648134000000001"/>
    <n v="3.3648134000000001"/>
    <n v="3.3648134000000001"/>
    <n v="3.3648134000000001"/>
    <n v="3.3648134000000001"/>
    <n v="3.3648134000000001"/>
    <n v="3.3648134000000001"/>
    <n v="3.3648134000000001"/>
    <n v="3.3648134000000001"/>
    <n v="3.3648134000000001"/>
    <n v="3.3648134000000001"/>
    <n v="3.3648134000000001"/>
    <n v="3.3648134000000001"/>
    <n v="3.3648134000000001"/>
    <n v="3.3648134000000001"/>
    <n v="3.3648134000000001"/>
  </r>
  <r>
    <s v="Waste"/>
    <x v="0"/>
    <x v="3"/>
    <x v="0"/>
    <x v="0"/>
    <s v="Kerala"/>
    <s v="Waste"/>
    <n v="978.98103000000015"/>
    <n v="978.98103000000015"/>
    <n v="978.98103000000015"/>
    <n v="978.98103000000015"/>
    <n v="978.98103000000015"/>
    <n v="978.98103000000015"/>
    <n v="978.98103000000015"/>
    <n v="978.98103000000015"/>
    <n v="978.98103000000015"/>
    <n v="978.98103000000015"/>
    <n v="978.98103000000015"/>
    <n v="978.98103000000015"/>
    <n v="978.98103000000015"/>
    <n v="978.98103000000015"/>
    <n v="978.98103000000015"/>
    <n v="978.98103000000015"/>
    <n v="978.98103000000015"/>
    <n v="978.98103000000015"/>
    <n v="978.98103000000015"/>
  </r>
  <r>
    <s v="Waste"/>
    <x v="0"/>
    <x v="3"/>
    <x v="0"/>
    <x v="1"/>
    <s v="Kerala"/>
    <s v="Waste"/>
    <n v="20558.601630000005"/>
    <n v="20558.601630000005"/>
    <n v="20558.601630000005"/>
    <n v="20558.601630000005"/>
    <n v="20558.601630000005"/>
    <n v="20558.601630000005"/>
    <n v="20558.601630000005"/>
    <n v="20558.601630000005"/>
    <n v="20558.601630000005"/>
    <n v="20558.601630000005"/>
    <n v="20558.601630000005"/>
    <n v="20558.601630000005"/>
    <n v="20558.601630000005"/>
    <n v="20558.601630000005"/>
    <n v="20558.601630000005"/>
    <n v="20558.601630000005"/>
    <n v="20558.601630000005"/>
    <n v="20558.601630000005"/>
    <n v="20558.601630000005"/>
  </r>
  <r>
    <s v="Waste"/>
    <x v="0"/>
    <x v="3"/>
    <x v="0"/>
    <x v="2"/>
    <s v="Kerala"/>
    <s v="Waste"/>
    <n v="27313.570737000002"/>
    <n v="27313.570737000002"/>
    <n v="27313.570737000002"/>
    <n v="27313.570737000002"/>
    <n v="27313.570737000002"/>
    <n v="27313.570737000002"/>
    <n v="27313.570737000002"/>
    <n v="27313.570737000002"/>
    <n v="27313.570737000002"/>
    <n v="27313.570737000002"/>
    <n v="27313.570737000002"/>
    <n v="27313.570737000002"/>
    <n v="27313.570737000002"/>
    <n v="27313.570737000002"/>
    <n v="27313.570737000002"/>
    <n v="27313.570737000002"/>
    <n v="27313.570737000002"/>
    <n v="27313.570737000002"/>
    <n v="27313.570737000002"/>
  </r>
  <r>
    <s v="Waste"/>
    <x v="0"/>
    <x v="3"/>
    <x v="0"/>
    <x v="3"/>
    <s v="Kerala"/>
    <s v="Waste"/>
    <n v="5266.9179414000009"/>
    <n v="5266.9179414000009"/>
    <n v="5266.9179414000009"/>
    <n v="5266.9179414000009"/>
    <n v="5266.9179414000009"/>
    <n v="5266.9179414000009"/>
    <n v="5266.9179414000009"/>
    <n v="5266.9179414000009"/>
    <n v="5266.9179414000009"/>
    <n v="5266.9179414000009"/>
    <n v="5266.9179414000009"/>
    <n v="5266.9179414000009"/>
    <n v="5266.9179414000009"/>
    <n v="5266.9179414000009"/>
    <n v="5266.9179414000009"/>
    <n v="5266.9179414000009"/>
    <n v="5266.9179414000009"/>
    <n v="5266.9179414000009"/>
    <n v="5266.9179414000009"/>
  </r>
  <r>
    <s v="Waste"/>
    <x v="0"/>
    <x v="4"/>
    <x v="0"/>
    <x v="0"/>
    <s v="Kerala"/>
    <s v="Waste"/>
    <n v="0"/>
    <n v="0"/>
    <n v="0"/>
    <n v="0"/>
    <n v="0"/>
    <n v="0"/>
    <n v="0"/>
    <n v="0"/>
    <n v="0"/>
    <n v="0"/>
    <n v="0"/>
    <n v="0"/>
    <n v="0"/>
    <n v="0"/>
    <n v="0"/>
    <n v="0"/>
    <n v="0"/>
    <n v="0"/>
    <n v="0"/>
  </r>
  <r>
    <s v="Waste"/>
    <x v="0"/>
    <x v="4"/>
    <x v="0"/>
    <x v="1"/>
    <s v="Kerala"/>
    <s v="Waste"/>
    <n v="0"/>
    <n v="0"/>
    <n v="0"/>
    <n v="0"/>
    <n v="0"/>
    <n v="0"/>
    <n v="0"/>
    <n v="0"/>
    <n v="0"/>
    <n v="0"/>
    <n v="0"/>
    <n v="0"/>
    <n v="0"/>
    <n v="0"/>
    <n v="0"/>
    <n v="0"/>
    <n v="0"/>
    <n v="0"/>
    <n v="0"/>
  </r>
  <r>
    <s v="Waste"/>
    <x v="0"/>
    <x v="4"/>
    <x v="0"/>
    <x v="2"/>
    <s v="Kerala"/>
    <s v="Waste"/>
    <n v="0"/>
    <n v="0"/>
    <n v="0"/>
    <n v="0"/>
    <n v="0"/>
    <n v="0"/>
    <n v="0"/>
    <n v="0"/>
    <n v="0"/>
    <n v="0"/>
    <n v="0"/>
    <n v="0"/>
    <n v="0"/>
    <n v="0"/>
    <n v="0"/>
    <n v="0"/>
    <n v="0"/>
    <n v="0"/>
    <n v="0"/>
  </r>
  <r>
    <s v="Waste"/>
    <x v="0"/>
    <x v="4"/>
    <x v="0"/>
    <x v="3"/>
    <s v="Kerala"/>
    <s v="Waste"/>
    <n v="0"/>
    <n v="0"/>
    <n v="0"/>
    <n v="0"/>
    <n v="0"/>
    <n v="0"/>
    <n v="0"/>
    <n v="0"/>
    <n v="0"/>
    <n v="0"/>
    <n v="0"/>
    <n v="0"/>
    <n v="0"/>
    <n v="0"/>
    <n v="0"/>
    <n v="0"/>
    <n v="0"/>
    <n v="0"/>
    <n v="0"/>
  </r>
  <r>
    <s v="Waste"/>
    <x v="0"/>
    <x v="5"/>
    <x v="0"/>
    <x v="0"/>
    <s v="Kerala"/>
    <s v="Waste"/>
    <n v="7.5130900000000027"/>
    <n v="7.5130900000000027"/>
    <n v="7.5130900000000027"/>
    <n v="7.5130900000000027"/>
    <n v="7.5130900000000027"/>
    <n v="7.5130900000000027"/>
    <n v="7.5130900000000027"/>
    <n v="7.5130900000000027"/>
    <n v="7.5130900000000027"/>
    <n v="7.5130900000000027"/>
    <n v="7.5130900000000027"/>
    <n v="7.5130900000000027"/>
    <n v="7.5130900000000027"/>
    <n v="7.5130900000000027"/>
    <n v="7.5130900000000027"/>
    <n v="7.5130900000000027"/>
    <n v="7.5130900000000027"/>
    <n v="7.5130900000000027"/>
    <n v="7.5130900000000027"/>
  </r>
  <r>
    <s v="Waste"/>
    <x v="0"/>
    <x v="5"/>
    <x v="0"/>
    <x v="1"/>
    <s v="Kerala"/>
    <s v="Waste"/>
    <n v="157.77489000000006"/>
    <n v="157.77489000000006"/>
    <n v="157.77489000000006"/>
    <n v="157.77489000000006"/>
    <n v="157.77489000000006"/>
    <n v="157.77489000000006"/>
    <n v="157.77489000000006"/>
    <n v="157.77489000000006"/>
    <n v="157.77489000000006"/>
    <n v="157.77489000000006"/>
    <n v="157.77489000000006"/>
    <n v="157.77489000000006"/>
    <n v="157.77489000000006"/>
    <n v="157.77489000000006"/>
    <n v="157.77489000000006"/>
    <n v="157.77489000000006"/>
    <n v="157.77489000000006"/>
    <n v="157.77489000000006"/>
    <n v="157.77489000000006"/>
  </r>
  <r>
    <s v="Waste"/>
    <x v="0"/>
    <x v="5"/>
    <x v="0"/>
    <x v="2"/>
    <s v="Kerala"/>
    <s v="Waste"/>
    <n v="209.61521100000007"/>
    <n v="209.61521100000007"/>
    <n v="209.61521100000007"/>
    <n v="209.61521100000007"/>
    <n v="209.61521100000007"/>
    <n v="209.61521100000007"/>
    <n v="209.61521100000007"/>
    <n v="209.61521100000007"/>
    <n v="209.61521100000007"/>
    <n v="209.61521100000007"/>
    <n v="209.61521100000007"/>
    <n v="209.61521100000007"/>
    <n v="209.61521100000007"/>
    <n v="209.61521100000007"/>
    <n v="209.61521100000007"/>
    <n v="209.61521100000007"/>
    <n v="209.61521100000007"/>
    <n v="209.61521100000007"/>
    <n v="209.61521100000007"/>
  </r>
  <r>
    <s v="Waste"/>
    <x v="0"/>
    <x v="5"/>
    <x v="0"/>
    <x v="3"/>
    <s v="Kerala"/>
    <s v="Waste"/>
    <n v="40.420424200000014"/>
    <n v="40.420424200000014"/>
    <n v="40.420424200000014"/>
    <n v="40.420424200000014"/>
    <n v="40.420424200000014"/>
    <n v="40.420424200000014"/>
    <n v="40.420424200000014"/>
    <n v="40.420424200000014"/>
    <n v="40.420424200000014"/>
    <n v="40.420424200000014"/>
    <n v="40.420424200000014"/>
    <n v="40.420424200000014"/>
    <n v="40.420424200000014"/>
    <n v="40.420424200000014"/>
    <n v="40.420424200000014"/>
    <n v="40.420424200000014"/>
    <n v="40.420424200000014"/>
    <n v="40.420424200000014"/>
    <n v="40.420424200000014"/>
  </r>
  <r>
    <s v="Waste"/>
    <x v="0"/>
    <x v="6"/>
    <x v="0"/>
    <x v="0"/>
    <s v="Kerala"/>
    <s v="Waste"/>
    <n v="104.12899874999998"/>
    <n v="104.12899874999998"/>
    <n v="104.12899874999998"/>
    <n v="104.12899874999998"/>
    <n v="104.12899874999998"/>
    <n v="104.12899874999998"/>
    <n v="104.12899874999998"/>
    <n v="104.12899874999998"/>
    <n v="104.12899874999998"/>
    <n v="104.12899874999998"/>
    <n v="104.12899874999998"/>
    <n v="104.12899874999998"/>
    <n v="104.12899874999998"/>
    <n v="104.12899874999998"/>
    <n v="104.12899874999998"/>
    <n v="104.12899874999998"/>
    <n v="104.12899874999998"/>
    <n v="104.12899874999998"/>
    <n v="104.12899874999998"/>
  </r>
  <r>
    <s v="Waste"/>
    <x v="0"/>
    <x v="6"/>
    <x v="0"/>
    <x v="1"/>
    <s v="Kerala"/>
    <s v="Waste"/>
    <n v="2186.7089737499996"/>
    <n v="2186.7089737499996"/>
    <n v="2186.7089737499996"/>
    <n v="2186.7089737499996"/>
    <n v="2186.7089737499996"/>
    <n v="2186.7089737499996"/>
    <n v="2186.7089737499996"/>
    <n v="2186.7089737499996"/>
    <n v="2186.7089737499996"/>
    <n v="2186.7089737499996"/>
    <n v="2186.7089737499996"/>
    <n v="2186.7089737499996"/>
    <n v="2186.7089737499996"/>
    <n v="2186.7089737499996"/>
    <n v="2186.7089737499996"/>
    <n v="2186.7089737499996"/>
    <n v="2186.7089737499996"/>
    <n v="2186.7089737499996"/>
    <n v="2186.7089737499996"/>
  </r>
  <r>
    <s v="Waste"/>
    <x v="0"/>
    <x v="6"/>
    <x v="0"/>
    <x v="2"/>
    <s v="Kerala"/>
    <s v="Waste"/>
    <n v="2905.1990651249994"/>
    <n v="2905.1990651249994"/>
    <n v="2905.1990651249994"/>
    <n v="2905.1990651249994"/>
    <n v="2905.1990651249994"/>
    <n v="2905.1990651249994"/>
    <n v="2905.1990651249994"/>
    <n v="2905.1990651249994"/>
    <n v="2905.1990651249994"/>
    <n v="2905.1990651249994"/>
    <n v="2905.1990651249994"/>
    <n v="2905.1990651249994"/>
    <n v="2905.1990651249994"/>
    <n v="2905.1990651249994"/>
    <n v="2905.1990651249994"/>
    <n v="2905.1990651249994"/>
    <n v="2905.1990651249994"/>
    <n v="2905.1990651249994"/>
    <n v="2905.1990651249994"/>
  </r>
  <r>
    <s v="Waste"/>
    <x v="0"/>
    <x v="6"/>
    <x v="0"/>
    <x v="3"/>
    <s v="Kerala"/>
    <s v="Waste"/>
    <n v="560.21401327499984"/>
    <n v="560.21401327499984"/>
    <n v="560.21401327499984"/>
    <n v="560.21401327499984"/>
    <n v="560.21401327499984"/>
    <n v="560.21401327499984"/>
    <n v="560.21401327499984"/>
    <n v="560.21401327499984"/>
    <n v="560.21401327499984"/>
    <n v="560.21401327499984"/>
    <n v="560.21401327499984"/>
    <n v="560.21401327499984"/>
    <n v="560.21401327499984"/>
    <n v="560.21401327499984"/>
    <n v="560.21401327499984"/>
    <n v="560.21401327499984"/>
    <n v="560.21401327499984"/>
    <n v="560.21401327499984"/>
    <n v="560.21401327499984"/>
  </r>
  <r>
    <s v="Waste"/>
    <x v="1"/>
    <x v="7"/>
    <x v="0"/>
    <x v="0"/>
    <s v="Kerala"/>
    <s v="Waste"/>
    <n v="63541.043817842983"/>
    <n v="63429.688251210675"/>
    <n v="63312.455774135211"/>
    <n v="63195.378962832081"/>
    <n v="63073.146344419059"/>
    <n v="62944.313994209078"/>
    <n v="60705.111639796109"/>
    <n v="60574.410286368678"/>
    <n v="60448.800440454172"/>
    <n v="60330.024076168251"/>
    <n v="60219.869159346556"/>
    <n v="60630.172251103118"/>
    <n v="60951.050310040926"/>
    <n v="61270.174936962692"/>
    <n v="61589.299563884451"/>
    <n v="61908.424190806218"/>
    <n v="62227.548817727984"/>
    <n v="62480.043028039712"/>
    <n v="62730.783806335385"/>
  </r>
  <r>
    <s v="Waste"/>
    <x v="1"/>
    <x v="7"/>
    <x v="0"/>
    <x v="4"/>
    <s v="Kerala"/>
    <s v="Waste"/>
    <n v="1501.9924688999997"/>
    <n v="1514.5587765"/>
    <n v="1526.8519034999999"/>
    <n v="1539.0084402"/>
    <n v="1557.7299435499999"/>
    <n v="1569.3455794500001"/>
    <n v="1602.7977522342499"/>
    <n v="1614.0699492499998"/>
    <n v="1625.2970937499999"/>
    <n v="1636.5242382500003"/>
    <n v="1647.799362"/>
    <n v="1659.0265064999999"/>
    <n v="1667.8067092499998"/>
    <n v="1676.53893275"/>
    <n v="1685.2711562500001"/>
    <n v="1694.0033797499996"/>
    <n v="1702.7356032500002"/>
    <n v="1709.6446152499998"/>
    <n v="1716.5056480000001"/>
  </r>
  <r>
    <s v="Waste"/>
    <x v="1"/>
    <x v="7"/>
    <x v="0"/>
    <x v="1"/>
    <s v="Kerala"/>
    <s v="Waste"/>
    <n v="1799979.5855337025"/>
    <n v="1801536.6739904243"/>
    <n v="1802885.6613418395"/>
    <n v="1804195.5746814737"/>
    <n v="1807432.3557333001"/>
    <n v="1808327.7235078907"/>
    <n v="1771674.6476283357"/>
    <n v="1772424.3002812422"/>
    <n v="1773266.9083120376"/>
    <n v="1774253.0194570334"/>
    <n v="1775435.0545662777"/>
    <n v="1787531.8342881654"/>
    <n v="1796992.1363783593"/>
    <n v="1806400.7428287165"/>
    <n v="1815809.3492790735"/>
    <n v="1825217.9557294303"/>
    <n v="1834626.5621797876"/>
    <n v="1842070.7343163339"/>
    <n v="1849463.2108130432"/>
  </r>
  <r>
    <s v="Waste"/>
    <x v="1"/>
    <x v="7"/>
    <x v="0"/>
    <x v="2"/>
    <s v="Kerala"/>
    <s v="Waste"/>
    <n v="2182839.0665275189"/>
    <n v="2183162.8481932776"/>
    <n v="2183248.0857538725"/>
    <n v="2183300.3772376152"/>
    <n v="2185001.0575984418"/>
    <n v="2184577.7036282835"/>
    <n v="2131236.4011102617"/>
    <n v="2130667.1431349362"/>
    <n v="2130227.6388824214"/>
    <n v="2129978.7887673443"/>
    <n v="2129983.5753717688"/>
    <n v="2144496.0420802771"/>
    <n v="2155845.5352753918"/>
    <n v="2167133.009382009"/>
    <n v="2178420.4834886258"/>
    <n v="2189707.9575952431"/>
    <n v="2200995.4317018604"/>
    <n v="2209926.1804455579"/>
    <n v="2218794.9101007571"/>
  </r>
  <r>
    <s v="Waste"/>
    <x v="1"/>
    <x v="7"/>
    <x v="0"/>
    <x v="3"/>
    <s v="Kerala"/>
    <s v="Waste"/>
    <n v="691815.06099369517"/>
    <n v="694143.9177160135"/>
    <n v="696377.5055803475"/>
    <n v="698580.10538663669"/>
    <n v="702284.60418012459"/>
    <n v="704297.92930069484"/>
    <n v="700045.37689268333"/>
    <n v="701968.62551591336"/>
    <n v="703908.76921339333"/>
    <n v="705885.67704203515"/>
    <n v="707920.14742328448"/>
    <n v="712743.50272543472"/>
    <n v="716515.61392327014"/>
    <n v="720267.1124916093"/>
    <n v="724018.61105994834"/>
    <n v="727770.10962828738"/>
    <n v="731521.60819662653"/>
    <n v="734489.82684410363"/>
    <n v="737437.43286208436"/>
  </r>
  <r>
    <s v="Waste"/>
    <x v="2"/>
    <x v="7"/>
    <x v="0"/>
    <x v="0"/>
    <s v="Kerala"/>
    <s v="Waste"/>
    <n v="5363.9926235435414"/>
    <n v="4760.6970465221302"/>
    <n v="4256.4799631087108"/>
    <n v="3844.9151468190216"/>
    <n v="3512.2433335358282"/>
    <n v="3246.8908467303659"/>
    <n v="3039.1636033454752"/>
    <n v="3136.0002153991163"/>
    <n v="3281.2097572798612"/>
    <n v="3472.6383810362267"/>
    <n v="3708.8377706631873"/>
    <n v="3988.9723295172357"/>
    <n v="4312.6064404273939"/>
    <n v="3638.458453705478"/>
    <n v="3069.6934909805691"/>
    <n v="2589.8380450027917"/>
    <n v="2184.9937523245503"/>
    <n v="1843.4348460164701"/>
    <n v="1555.2685347005993"/>
  </r>
  <r>
    <s v="Waste"/>
    <x v="2"/>
    <x v="7"/>
    <x v="0"/>
    <x v="1"/>
    <s v="Kerala"/>
    <s v="Waste"/>
    <n v="112643.84509441437"/>
    <n v="99974.637976964732"/>
    <n v="89386.079225282927"/>
    <n v="80743.218083199448"/>
    <n v="73757.11000425239"/>
    <n v="68184.707781337682"/>
    <n v="63822.435670254978"/>
    <n v="65856.004523381445"/>
    <n v="68905.404902877082"/>
    <n v="72925.406001760755"/>
    <n v="77885.593183926932"/>
    <n v="83768.418919861957"/>
    <n v="90564.735248975267"/>
    <n v="76407.627527815042"/>
    <n v="64463.563310591948"/>
    <n v="54386.598945058628"/>
    <n v="45884.868798815558"/>
    <n v="38712.131766345876"/>
    <n v="32660.639228712585"/>
  </r>
  <r>
    <s v="Waste"/>
    <x v="2"/>
    <x v="7"/>
    <x v="0"/>
    <x v="2"/>
    <s v="Kerala"/>
    <s v="Waste"/>
    <n v="3142763.2781341607"/>
    <n v="2789292.3995573157"/>
    <n v="2493871.6103853937"/>
    <n v="2252735.7845212645"/>
    <n v="2057823.3691186416"/>
    <n v="1902353.3470993212"/>
    <n v="1780645.9552001138"/>
    <n v="1837382.5262023422"/>
    <n v="1922460.7967902706"/>
    <n v="2034618.827449125"/>
    <n v="2173008.0498315613"/>
    <n v="2337138.8878641487"/>
    <n v="2526756.1134464098"/>
    <n v="2131772.8080260395"/>
    <n v="1798533.4163655152"/>
    <n v="1517386.1105671357"/>
    <n v="1280187.839486954"/>
    <n v="1080068.4762810499"/>
    <n v="911231.83448108111"/>
  </r>
  <r>
    <s v="Waste"/>
    <x v="2"/>
    <x v="7"/>
    <x v="0"/>
    <x v="3"/>
    <s v="Kerala"/>
    <s v="Waste"/>
    <n v="28858.280314664251"/>
    <n v="25612.550110289059"/>
    <n v="22899.862201524862"/>
    <n v="20685.643489886337"/>
    <n v="18895.869134422755"/>
    <n v="17468.272755409369"/>
    <n v="16350.700185998656"/>
    <n v="16871.681158847245"/>
    <n v="17652.908494165651"/>
    <n v="18682.794489974898"/>
    <n v="19953.547206167947"/>
    <n v="21460.671132802727"/>
    <n v="23201.82264949938"/>
    <n v="19574.906480935471"/>
    <n v="16514.95098147546"/>
    <n v="13933.32868211502"/>
    <n v="11755.266387506081"/>
    <n v="9917.6794715686101"/>
    <n v="8367.344716689223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5AFCDDB-1C37-4809-AC70-56EBC30B74A0}" name="PivotTable1" cacheId="21" applyNumberFormats="0" applyBorderFormats="0" applyFontFormats="0" applyPatternFormats="0" applyAlignmentFormats="0" applyWidthHeightFormats="1" dataCaption="Values" updatedVersion="8" minRefreshableVersion="3" useAutoFormatting="1" itemPrintTitles="1" createdVersion="8" indent="0" multipleFieldFilters="0">
  <location ref="A4:T17" firstHeaderRow="0" firstDataRow="1" firstDataCol="1" rowPageCount="2" colPageCount="1"/>
  <pivotFields count="26">
    <pivotField showAll="0"/>
    <pivotField axis="axisRow" showAll="0">
      <items count="4">
        <item x="1"/>
        <item x="0"/>
        <item x="2"/>
        <item t="default"/>
      </items>
    </pivotField>
    <pivotField axis="axisRow" showAll="0">
      <items count="10">
        <item x="1"/>
        <item m="1" x="8"/>
        <item x="6"/>
        <item x="2"/>
        <item x="0"/>
        <item x="3"/>
        <item x="4"/>
        <item x="5"/>
        <item x="7"/>
        <item t="default"/>
      </items>
    </pivotField>
    <pivotField axis="axisPage" showAll="0">
      <items count="2">
        <item x="0"/>
        <item t="default"/>
      </items>
    </pivotField>
    <pivotField axis="axisPage" showAll="0">
      <items count="6">
        <item x="0"/>
        <item x="3"/>
        <item x="1"/>
        <item x="2"/>
        <item x="4"/>
        <item t="default"/>
      </items>
    </pivotField>
    <pivotField showAll="0"/>
    <pivotField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 dataField="1" numFmtId="164" showAll="0"/>
  </pivotFields>
  <rowFields count="2">
    <field x="1"/>
    <field x="2"/>
  </rowFields>
  <rowItems count="13">
    <i>
      <x/>
    </i>
    <i r="1">
      <x v="8"/>
    </i>
    <i>
      <x v="1"/>
    </i>
    <i r="1">
      <x/>
    </i>
    <i r="1">
      <x v="2"/>
    </i>
    <i r="1">
      <x v="3"/>
    </i>
    <i r="1">
      <x v="4"/>
    </i>
    <i r="1">
      <x v="5"/>
    </i>
    <i r="1">
      <x v="6"/>
    </i>
    <i r="1">
      <x v="7"/>
    </i>
    <i>
      <x v="2"/>
    </i>
    <i r="1">
      <x v="8"/>
    </i>
    <i t="grand">
      <x/>
    </i>
  </rowItems>
  <colFields count="1">
    <field x="-2"/>
  </colFields>
  <colItems count="19">
    <i>
      <x/>
    </i>
    <i i="1">
      <x v="1"/>
    </i>
    <i i="2">
      <x v="2"/>
    </i>
    <i i="3">
      <x v="3"/>
    </i>
    <i i="4">
      <x v="4"/>
    </i>
    <i i="5">
      <x v="5"/>
    </i>
    <i i="6">
      <x v="6"/>
    </i>
    <i i="7">
      <x v="7"/>
    </i>
    <i i="8">
      <x v="8"/>
    </i>
    <i i="9">
      <x v="9"/>
    </i>
    <i i="10">
      <x v="10"/>
    </i>
    <i i="11">
      <x v="11"/>
    </i>
    <i i="12">
      <x v="12"/>
    </i>
    <i i="13">
      <x v="13"/>
    </i>
    <i i="14">
      <x v="14"/>
    </i>
    <i i="15">
      <x v="15"/>
    </i>
    <i i="16">
      <x v="16"/>
    </i>
    <i i="17">
      <x v="17"/>
    </i>
    <i i="18">
      <x v="18"/>
    </i>
  </colItems>
  <pageFields count="2">
    <pageField fld="3" hier="-1"/>
    <pageField fld="4" item="2" hier="-1"/>
  </pageFields>
  <dataFields count="19">
    <dataField name="Sum of 2005" fld="7" baseField="0" baseItem="0" numFmtId="164"/>
    <dataField name="Sum of 2006" fld="8" baseField="0" baseItem="0" numFmtId="164"/>
    <dataField name="Sum of 2007" fld="9" baseField="0" baseItem="0" numFmtId="164"/>
    <dataField name="Sum of 2008" fld="10" baseField="0" baseItem="0" numFmtId="164"/>
    <dataField name="Sum of 2009" fld="11" baseField="0" baseItem="0" numFmtId="164"/>
    <dataField name="Sum of 2010" fld="12" baseField="0" baseItem="0" numFmtId="164"/>
    <dataField name="Sum of 2011" fld="13" baseField="0" baseItem="0" numFmtId="164"/>
    <dataField name="Sum of 2012" fld="14" baseField="0" baseItem="0" numFmtId="164"/>
    <dataField name="Sum of 2013" fld="15" baseField="0" baseItem="0" numFmtId="164"/>
    <dataField name="Sum of 2014" fld="16" baseField="0" baseItem="0" numFmtId="164"/>
    <dataField name="Sum of 2015" fld="17" baseField="0" baseItem="0" numFmtId="164"/>
    <dataField name="Sum of 2016" fld="18" baseField="0" baseItem="0" numFmtId="164"/>
    <dataField name="Sum of 2020" fld="22" baseField="0" baseItem="0" numFmtId="164"/>
    <dataField name="Sum of 2019" fld="21" baseField="0" baseItem="0" numFmtId="164"/>
    <dataField name="Sum of 2018" fld="20" baseField="0" baseItem="0" numFmtId="164"/>
    <dataField name="Sum of 2017" fld="19" baseField="0" baseItem="0" numFmtId="164"/>
    <dataField name="Sum of 2021" fld="23" baseField="0" baseItem="0" numFmtId="164"/>
    <dataField name="Sum of 2022" fld="24" baseField="0" baseItem="0" numFmtId="164"/>
    <dataField name="Sum of 2023" fld="25" baseField="0" baseItem="0" numFmtId="164"/>
  </dataFields>
  <formats count="2">
    <format dxfId="6">
      <pivotArea grandRow="1" outline="0" collapsedLevelsAreSubtotals="1" fieldPosition="0"/>
    </format>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78EFF6-5316-414F-AF2D-0FBD5C1FECE9}" name="Table1" displayName="Table1" ref="A1:X2" totalsRowShown="0">
  <autoFilter ref="A1:X2" xr:uid="{8F78EFF6-5316-414F-AF2D-0FBD5C1FECE9}"/>
  <tableColumns count="24">
    <tableColumn id="1" xr3:uid="{8D0C9524-47A7-4B5F-8B3D-31D619A997E3}" name="Level 1"/>
    <tableColumn id="2" xr3:uid="{B11779AB-CFD8-4E92-B5A1-C82857E33532}" name="Level 2"/>
    <tableColumn id="3" xr3:uid="{FFFDCE2B-7C36-4D14-B9CF-74B581868057}" name="Level 3"/>
    <tableColumn id="4" xr3:uid="{109E58BC-8E55-4733-B509-071CBE4D549F}" name="Emission / Removal / Bunker"/>
    <tableColumn id="5" xr3:uid="{CBE1CE42-EE08-4D56-B4C3-0E721DD7D44C}" name="Gas"/>
    <tableColumn id="6" xr3:uid="{E2B5B01C-5A4D-4E82-AF61-F64D3233FC96}" name="State"/>
    <tableColumn id="7" xr3:uid="{1898B994-B9A8-4AC9-9AD8-4D4ED11A63C5}" name="Economic Activity"/>
    <tableColumn id="8" xr3:uid="{574490C5-7567-4B2D-A824-34414E1F2DFB}" name="2005"/>
    <tableColumn id="9" xr3:uid="{AE71F8D6-AF53-4475-A3D6-2EEA19A3D345}" name="2006"/>
    <tableColumn id="10" xr3:uid="{CF4ECFF6-7600-4B1F-90C1-9A096886BA31}" name="2007"/>
    <tableColumn id="11" xr3:uid="{B2BCE807-2AEE-467A-870E-37C19096F62F}" name="2008"/>
    <tableColumn id="12" xr3:uid="{350BB4A7-946A-4518-98F3-1700B21657CC}" name="2009"/>
    <tableColumn id="13" xr3:uid="{7B11897B-6239-470C-BA47-7458AE9406F8}" name="2010"/>
    <tableColumn id="14" xr3:uid="{BBD0CD3C-BA5A-40F1-A83E-46DA677D70D0}" name="2011"/>
    <tableColumn id="15" xr3:uid="{1C11FCB8-66EE-423A-9E93-BC84328AFA82}" name="2012"/>
    <tableColumn id="16" xr3:uid="{891AA954-091C-4787-A859-CBBDFA4D1B76}" name="2013"/>
    <tableColumn id="17" xr3:uid="{EEABC054-D2ED-4E41-9E32-BEAEFB2D7940}" name="2014"/>
    <tableColumn id="18" xr3:uid="{D30096CE-F070-4C75-B268-BF4569E6A2D0}" name="2015"/>
    <tableColumn id="19" xr3:uid="{7747DD56-D830-4B54-A6C2-AA42B9A660C3}" name="2016"/>
    <tableColumn id="20" xr3:uid="{1EA4957D-D077-4B5E-A913-B6CB601C0E0E}" name="2017"/>
    <tableColumn id="21" xr3:uid="{B39AACEB-6F4E-466D-87FD-CC543EDFC0B0}" name="2018"/>
    <tableColumn id="22" xr3:uid="{49BE91C8-12DD-43B3-9BF1-9E2894C84B6E}" name="2019"/>
    <tableColumn id="23" xr3:uid="{C0BCD655-DD81-406C-B8DD-22465B6DD66D}" name="2020"/>
    <tableColumn id="24" xr3:uid="{FFDB73C5-2DAE-48AF-8461-82E938E74BD2}" name="202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hyperlink" Target="https://www.ecostat.kerala.gov.in/storage/publications/355.pdf" TargetMode="External"/><Relationship Id="rId1" Type="http://schemas.openxmlformats.org/officeDocument/2006/relationships/hyperlink" Target="https://www.ecostat.kerala.gov.in/storage/publications/630.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ecostat.kerala.gov.in/storage/publications/355.pdf" TargetMode="External"/><Relationship Id="rId1" Type="http://schemas.openxmlformats.org/officeDocument/2006/relationships/hyperlink" Target="https://www.ecostat.kerala.gov.in/storage/publications/630.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niua.in/sites/default/files/reserch_paper/RSS-88.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bharatpetroleum.in/Bharat-Petroleum-For/Refineries/Kochi-Refinery/Performance.aspx"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hyperlink" Target="https://nhm.gov.in/New_Updates_2018/Report_Population_Projection_2019.pdf" TargetMode="External"/><Relationship Id="rId2" Type="http://schemas.openxmlformats.org/officeDocument/2006/relationships/hyperlink" Target="https://spb.kerala.gov.in/economic-review/ER2017/web_e/ch11.php?id=1&amp;ch=11" TargetMode="External"/><Relationship Id="rId1" Type="http://schemas.openxmlformats.org/officeDocument/2006/relationships/hyperlink" Target="http://statehealthsocietybihar.org/survey_reports/Population_Projection_Report_2006.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moef.gov.in/wp-content/uploads/2018/04/M-Karthi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A743-57E1-4BC5-8AEA-A69BEB670F98}">
  <dimension ref="A1:X2"/>
  <sheetViews>
    <sheetView workbookViewId="0">
      <selection sqref="A1:X2"/>
    </sheetView>
  </sheetViews>
  <sheetFormatPr defaultRowHeight="14.4"/>
  <cols>
    <col min="4" max="4" width="27.109375" customWidth="1"/>
    <col min="7" max="7" width="17.88671875" customWidth="1"/>
  </cols>
  <sheetData>
    <row r="1" spans="1:24">
      <c r="A1" t="s">
        <v>3</v>
      </c>
      <c r="B1" t="s">
        <v>4</v>
      </c>
      <c r="C1" t="s">
        <v>5</v>
      </c>
      <c r="D1" t="s">
        <v>6</v>
      </c>
      <c r="E1" t="s">
        <v>7</v>
      </c>
      <c r="F1" t="s">
        <v>8</v>
      </c>
      <c r="G1" t="s">
        <v>9</v>
      </c>
      <c r="H1" t="s">
        <v>48</v>
      </c>
      <c r="I1" t="s">
        <v>49</v>
      </c>
      <c r="J1" t="s">
        <v>50</v>
      </c>
      <c r="K1" t="s">
        <v>51</v>
      </c>
      <c r="L1" t="s">
        <v>52</v>
      </c>
      <c r="M1" t="s">
        <v>53</v>
      </c>
      <c r="N1" t="s">
        <v>54</v>
      </c>
      <c r="O1" t="s">
        <v>55</v>
      </c>
      <c r="P1" t="s">
        <v>56</v>
      </c>
      <c r="Q1" t="s">
        <v>57</v>
      </c>
      <c r="R1" t="s">
        <v>58</v>
      </c>
      <c r="S1" t="s">
        <v>59</v>
      </c>
      <c r="T1" t="s">
        <v>60</v>
      </c>
      <c r="U1" t="s">
        <v>61</v>
      </c>
      <c r="V1" t="s">
        <v>62</v>
      </c>
      <c r="W1" t="s">
        <v>63</v>
      </c>
      <c r="X1" t="s">
        <v>64</v>
      </c>
    </row>
    <row r="2" spans="1:24">
      <c r="A2" t="s">
        <v>10</v>
      </c>
      <c r="B2" t="s">
        <v>22</v>
      </c>
      <c r="C2" t="s">
        <v>2</v>
      </c>
      <c r="D2" t="s">
        <v>12</v>
      </c>
      <c r="E2" t="s">
        <v>25</v>
      </c>
      <c r="F2" t="s">
        <v>0</v>
      </c>
      <c r="G2" t="s">
        <v>10</v>
      </c>
      <c r="H2">
        <v>602083.09702605335</v>
      </c>
      <c r="I2">
        <v>606920.21717931062</v>
      </c>
      <c r="J2">
        <v>611655.55771273631</v>
      </c>
      <c r="K2">
        <v>616318.83693974605</v>
      </c>
      <c r="L2">
        <v>621409.32524342427</v>
      </c>
      <c r="M2">
        <v>625843.49387579877</v>
      </c>
      <c r="N2">
        <v>725101.19518412999</v>
      </c>
      <c r="O2">
        <v>742129.40240526269</v>
      </c>
      <c r="P2">
        <v>759306.39860719827</v>
      </c>
      <c r="Q2">
        <v>938677.77115026186</v>
      </c>
      <c r="R2">
        <v>957268.41817385633</v>
      </c>
      <c r="S2">
        <v>975914.07133578626</v>
      </c>
      <c r="T2">
        <v>993170.69151784084</v>
      </c>
      <c r="U2">
        <v>1010422.8235682308</v>
      </c>
      <c r="V2">
        <v>1027660.0820511209</v>
      </c>
      <c r="W2">
        <v>1044837.846264011</v>
      </c>
      <c r="X2">
        <v>1061941.242639401</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3D35-A51D-4B9B-B3F1-99C70A3BCF57}">
  <sheetPr>
    <tabColor theme="9" tint="0.59999389629810485"/>
    <outlinePr summaryBelow="0" summaryRight="0"/>
  </sheetPr>
  <dimension ref="A1:AG1000"/>
  <sheetViews>
    <sheetView topLeftCell="A9" workbookViewId="0">
      <selection activeCell="B21" sqref="B21"/>
    </sheetView>
  </sheetViews>
  <sheetFormatPr defaultColWidth="12.6640625" defaultRowHeight="15" customHeight="1"/>
  <cols>
    <col min="1" max="1" width="12.6640625" style="10"/>
    <col min="2" max="2" width="33.44140625" style="10" customWidth="1"/>
    <col min="3" max="3" width="31.44140625" style="10" customWidth="1"/>
    <col min="4" max="4" width="50.21875" style="10" customWidth="1"/>
    <col min="5" max="5" width="40.6640625" style="10" customWidth="1"/>
    <col min="6" max="6" width="21.109375" style="10" customWidth="1"/>
    <col min="7" max="7" width="24.21875" style="10" customWidth="1"/>
    <col min="8" max="8" width="16" style="10" customWidth="1"/>
    <col min="9" max="9" width="16.109375" style="10" customWidth="1"/>
    <col min="10" max="10" width="17" style="10" customWidth="1"/>
    <col min="11" max="11" width="20.21875" style="10" customWidth="1"/>
    <col min="12" max="20" width="12.6640625" style="10"/>
    <col min="21" max="21" width="11.88671875" style="10" customWidth="1"/>
    <col min="22" max="22" width="17.44140625" style="10" customWidth="1"/>
    <col min="23" max="16384" width="12.6640625" style="10"/>
  </cols>
  <sheetData>
    <row r="1" spans="2:11" ht="15.75" customHeight="1"/>
    <row r="2" spans="2:11" ht="15.75" customHeight="1">
      <c r="B2" s="703" t="s">
        <v>165</v>
      </c>
      <c r="C2" s="688"/>
      <c r="D2" s="688"/>
      <c r="E2" s="688"/>
      <c r="F2" s="120"/>
      <c r="G2" s="120"/>
      <c r="H2" s="120"/>
    </row>
    <row r="3" spans="2:11" ht="15.75" customHeight="1"/>
    <row r="4" spans="2:11" ht="15.75" customHeight="1">
      <c r="B4" s="292" t="s">
        <v>223</v>
      </c>
    </row>
    <row r="5" spans="2:11" ht="15.75" customHeight="1">
      <c r="B5" s="296" t="s">
        <v>8</v>
      </c>
      <c r="C5" s="711" t="s">
        <v>225</v>
      </c>
      <c r="D5" s="712"/>
      <c r="E5" s="712"/>
      <c r="F5" s="712"/>
      <c r="G5" s="711" t="s">
        <v>224</v>
      </c>
      <c r="H5" s="712"/>
      <c r="I5" s="712"/>
      <c r="J5" s="712"/>
    </row>
    <row r="6" spans="2:11" ht="15.75" customHeight="1">
      <c r="B6" s="286" t="s">
        <v>0</v>
      </c>
      <c r="C6" s="287" t="s">
        <v>156</v>
      </c>
      <c r="D6" s="288" t="s">
        <v>157</v>
      </c>
      <c r="E6" s="289" t="s">
        <v>158</v>
      </c>
      <c r="F6" s="288" t="s">
        <v>159</v>
      </c>
      <c r="G6" s="287" t="s">
        <v>156</v>
      </c>
      <c r="H6" s="288" t="s">
        <v>157</v>
      </c>
      <c r="I6" s="289" t="s">
        <v>158</v>
      </c>
      <c r="J6" s="288" t="s">
        <v>159</v>
      </c>
    </row>
    <row r="7" spans="2:11" ht="15.75" customHeight="1">
      <c r="B7" s="285"/>
      <c r="C7" s="290">
        <f>C20*' degree of utilization'!E18*'State total population'!F5</f>
        <v>59633.44370860928</v>
      </c>
      <c r="D7" s="290">
        <f>D20*' degree of utilization'!$E$18*'State total population'!$F$5</f>
        <v>4442691.5562913911</v>
      </c>
      <c r="E7" s="290">
        <f>E20*' degree of utilization'!$E$18*'State total population'!$F$5</f>
        <v>3981825.0000000005</v>
      </c>
      <c r="F7" s="290">
        <f>F20*' degree of utilization'!$E$18*'State total population'!$F$5</f>
        <v>199525</v>
      </c>
      <c r="G7" s="291">
        <f>G20*' degree of utilization'!$O$18*'State total population'!$P$5</f>
        <v>89788</v>
      </c>
      <c r="H7" s="291">
        <f>H20*' degree of utilization'!$O$18*'State total population'!$P$5</f>
        <v>6689206</v>
      </c>
      <c r="I7" s="291">
        <f>I20*' degree of utilization'!$O$18*'State total population'!$P$5</f>
        <v>15443536</v>
      </c>
      <c r="J7" s="291">
        <f>J20*' degree of utilization'!$O$18*'State total population'!$P$5</f>
        <v>224469.99999999997</v>
      </c>
    </row>
    <row r="8" spans="2:11" ht="15.75" customHeight="1">
      <c r="B8" s="174"/>
      <c r="C8" s="56"/>
      <c r="D8" s="56"/>
      <c r="E8" s="56"/>
      <c r="G8" s="55"/>
      <c r="H8" s="56"/>
      <c r="I8" s="56"/>
      <c r="J8" s="56"/>
    </row>
    <row r="9" spans="2:11" ht="15.75" customHeight="1">
      <c r="B9" s="174"/>
      <c r="C9" s="56"/>
      <c r="D9" s="56"/>
      <c r="E9" s="56"/>
      <c r="G9" s="55"/>
      <c r="H9" s="56"/>
      <c r="I9" s="56"/>
      <c r="J9" s="56"/>
    </row>
    <row r="10" spans="2:11" ht="15.75" customHeight="1">
      <c r="B10" s="292" t="s">
        <v>237</v>
      </c>
      <c r="C10" s="56"/>
      <c r="D10" s="56"/>
      <c r="E10" s="56"/>
      <c r="G10" s="55"/>
      <c r="H10" s="56"/>
      <c r="I10" s="56"/>
      <c r="J10" s="56"/>
    </row>
    <row r="11" spans="2:11" ht="15.75" customHeight="1">
      <c r="B11" s="298">
        <v>39692</v>
      </c>
      <c r="C11" s="297" t="s">
        <v>166</v>
      </c>
      <c r="D11" s="297" t="s">
        <v>167</v>
      </c>
      <c r="E11" s="297" t="s">
        <v>133</v>
      </c>
      <c r="F11" s="297" t="s">
        <v>168</v>
      </c>
      <c r="G11" s="299">
        <v>2018</v>
      </c>
      <c r="H11" s="156" t="s">
        <v>166</v>
      </c>
      <c r="I11" s="156" t="s">
        <v>167</v>
      </c>
      <c r="J11" s="156" t="s">
        <v>169</v>
      </c>
      <c r="K11" s="156" t="s">
        <v>168</v>
      </c>
    </row>
    <row r="12" spans="2:11" ht="15.75" customHeight="1">
      <c r="B12" s="79" t="s">
        <v>170</v>
      </c>
      <c r="C12" s="78">
        <f>C7</f>
        <v>59633.44370860928</v>
      </c>
      <c r="D12" s="78">
        <f>'Rural degree of utilization'!C6</f>
        <v>0</v>
      </c>
      <c r="E12" s="78">
        <f>C12+D12</f>
        <v>59633.44370860928</v>
      </c>
      <c r="F12" s="175">
        <f>E12/SUM(E$12:E$15)</f>
        <v>1.7637853508587038E-3</v>
      </c>
      <c r="G12" s="79" t="s">
        <v>170</v>
      </c>
      <c r="H12" s="78">
        <f>G7</f>
        <v>89788</v>
      </c>
      <c r="I12" s="78">
        <f>'Rural degree of utilization'!G6</f>
        <v>0</v>
      </c>
      <c r="J12" s="78">
        <f>H12+I12</f>
        <v>89788</v>
      </c>
      <c r="K12" s="175">
        <f>J12/SUM($J$12:$J$15)</f>
        <v>2.5695561342758207E-3</v>
      </c>
    </row>
    <row r="13" spans="2:11" ht="15.75" customHeight="1">
      <c r="B13" s="79" t="s">
        <v>171</v>
      </c>
      <c r="C13" s="78">
        <f>D7</f>
        <v>4442691.5562913911</v>
      </c>
      <c r="D13" s="78">
        <f>'Rural degree of utilization'!D6</f>
        <v>5507838.4000000004</v>
      </c>
      <c r="E13" s="78">
        <f>C13+D13</f>
        <v>9950529.9562913924</v>
      </c>
      <c r="F13" s="175">
        <f>E13/SUM(E$12:E$15)</f>
        <v>0.29430799026039939</v>
      </c>
      <c r="G13" s="79" t="s">
        <v>171</v>
      </c>
      <c r="H13" s="78">
        <f>H7</f>
        <v>6689206</v>
      </c>
      <c r="I13" s="78">
        <f>'Rural degree of utilization'!H6</f>
        <v>1911888</v>
      </c>
      <c r="J13" s="78">
        <f>H13+I13</f>
        <v>8601094</v>
      </c>
      <c r="K13" s="175">
        <f>J13/SUM($J$12:$J$15)</f>
        <v>0.2461464098674985</v>
      </c>
    </row>
    <row r="14" spans="2:11" ht="15.75" customHeight="1">
      <c r="B14" s="79" t="s">
        <v>172</v>
      </c>
      <c r="C14" s="78">
        <f>E7</f>
        <v>3981825.0000000005</v>
      </c>
      <c r="D14" s="78">
        <f>'Rural degree of utilization'!E6</f>
        <v>19216124.52</v>
      </c>
      <c r="E14" s="78">
        <f>C14+D14</f>
        <v>23197949.52</v>
      </c>
      <c r="F14" s="175">
        <f>E14/SUM(E$12:E$15)</f>
        <v>0.68612847068277938</v>
      </c>
      <c r="G14" s="79" t="s">
        <v>172</v>
      </c>
      <c r="H14" s="78">
        <f>I7</f>
        <v>15443536</v>
      </c>
      <c r="I14" s="78">
        <f>'Rural degree of utilization'!I6</f>
        <v>10434160</v>
      </c>
      <c r="J14" s="78">
        <f>H14+I14</f>
        <v>25877696</v>
      </c>
      <c r="K14" s="175">
        <f>J14/SUM($J$12:$J$15)</f>
        <v>0.74056881206536362</v>
      </c>
    </row>
    <row r="15" spans="2:11" ht="15.75" customHeight="1">
      <c r="B15" s="79" t="s">
        <v>173</v>
      </c>
      <c r="C15" s="78">
        <f>F7</f>
        <v>199525</v>
      </c>
      <c r="D15" s="78">
        <f>'Rural degree of utilization'!F6</f>
        <v>402283.27</v>
      </c>
      <c r="E15" s="78">
        <f>C15+D15</f>
        <v>601808.27</v>
      </c>
      <c r="F15" s="175">
        <f>E15/SUM(E$12:E$15)</f>
        <v>1.7799753705962422E-2</v>
      </c>
      <c r="G15" s="79" t="s">
        <v>173</v>
      </c>
      <c r="H15" s="78">
        <f>J7</f>
        <v>224469.99999999997</v>
      </c>
      <c r="I15" s="78">
        <f>'Rural degree of utilization'!J6</f>
        <v>149952</v>
      </c>
      <c r="J15" s="78">
        <f>H15+I15</f>
        <v>374422</v>
      </c>
      <c r="K15" s="175">
        <f>J15/SUM($J$12:$J$15)</f>
        <v>1.071522193286209E-2</v>
      </c>
    </row>
    <row r="16" spans="2:11" ht="15.75" customHeight="1"/>
    <row r="17" spans="1:33" ht="15.75" customHeight="1">
      <c r="B17" s="173" t="s">
        <v>174</v>
      </c>
    </row>
    <row r="18" spans="1:33" ht="15.75" customHeight="1">
      <c r="B18" s="296" t="s">
        <v>8</v>
      </c>
      <c r="C18" s="713" t="s">
        <v>226</v>
      </c>
      <c r="D18" s="712"/>
      <c r="E18" s="712"/>
      <c r="F18" s="712"/>
      <c r="G18" s="713" t="s">
        <v>227</v>
      </c>
      <c r="H18" s="712"/>
      <c r="I18" s="712"/>
      <c r="J18" s="712"/>
      <c r="K18" s="126"/>
      <c r="L18" s="126"/>
      <c r="M18" s="126"/>
      <c r="N18" s="126"/>
      <c r="O18" s="126"/>
      <c r="P18" s="126"/>
      <c r="V18" s="705"/>
      <c r="W18" s="688"/>
      <c r="X18" s="688"/>
      <c r="Y18" s="688"/>
      <c r="Z18" s="705"/>
      <c r="AA18" s="688"/>
      <c r="AB18" s="688"/>
      <c r="AC18" s="688"/>
      <c r="AD18" s="688"/>
      <c r="AE18" s="688"/>
      <c r="AF18" s="688"/>
      <c r="AG18" s="688"/>
    </row>
    <row r="19" spans="1:33" ht="15.75" customHeight="1">
      <c r="B19" s="285" t="s">
        <v>0</v>
      </c>
      <c r="C19" s="287" t="s">
        <v>156</v>
      </c>
      <c r="D19" s="288" t="s">
        <v>157</v>
      </c>
      <c r="E19" s="289" t="s">
        <v>158</v>
      </c>
      <c r="F19" s="288" t="s">
        <v>159</v>
      </c>
      <c r="G19" s="287" t="s">
        <v>156</v>
      </c>
      <c r="H19" s="288" t="s">
        <v>157</v>
      </c>
      <c r="I19" s="289" t="s">
        <v>158</v>
      </c>
      <c r="J19" s="288" t="s">
        <v>159</v>
      </c>
      <c r="K19" s="131"/>
      <c r="L19" s="131"/>
      <c r="M19" s="131"/>
      <c r="N19" s="131"/>
      <c r="O19" s="131"/>
      <c r="P19" s="131"/>
      <c r="Q19" s="708"/>
      <c r="R19" s="708"/>
      <c r="S19" s="708"/>
      <c r="T19" s="708"/>
      <c r="U19" s="708"/>
      <c r="V19" s="707"/>
      <c r="W19" s="707"/>
      <c r="X19" s="707"/>
      <c r="Y19" s="707"/>
      <c r="Z19" s="707"/>
      <c r="AA19" s="688"/>
      <c r="AB19" s="688"/>
      <c r="AC19" s="707"/>
      <c r="AD19" s="707"/>
      <c r="AE19" s="707"/>
      <c r="AF19" s="688"/>
      <c r="AG19" s="707"/>
    </row>
    <row r="20" spans="1:33" ht="15.75" customHeight="1">
      <c r="A20" s="132"/>
      <c r="B20" s="285"/>
      <c r="C20" s="293">
        <f>G34</f>
        <v>6.874172185430464E-3</v>
      </c>
      <c r="D20" s="293">
        <f>H34</f>
        <v>0.5121258278145695</v>
      </c>
      <c r="E20" s="294">
        <f>I34</f>
        <v>0.45900000000000002</v>
      </c>
      <c r="F20" s="294">
        <f>J34</f>
        <v>2.3E-2</v>
      </c>
      <c r="G20" s="295">
        <f>B36</f>
        <v>4.0000000000000001E-3</v>
      </c>
      <c r="H20" s="294">
        <f>C36</f>
        <v>0.29799999999999999</v>
      </c>
      <c r="I20" s="294">
        <f>D36</f>
        <v>0.68800000000000006</v>
      </c>
      <c r="J20" s="295">
        <f>E36</f>
        <v>9.9999999999999985E-3</v>
      </c>
      <c r="K20" s="136"/>
      <c r="L20" s="137"/>
      <c r="M20" s="136"/>
      <c r="N20" s="136"/>
      <c r="O20" s="137"/>
      <c r="P20" s="136"/>
      <c r="Q20" s="688"/>
      <c r="R20" s="688"/>
      <c r="S20" s="688"/>
      <c r="T20" s="688"/>
      <c r="U20" s="688"/>
      <c r="V20" s="688"/>
      <c r="W20" s="688"/>
      <c r="X20" s="688"/>
      <c r="Y20" s="688"/>
      <c r="Z20" s="138"/>
      <c r="AA20" s="138"/>
      <c r="AB20" s="138"/>
      <c r="AC20" s="688"/>
      <c r="AD20" s="688"/>
      <c r="AE20" s="138"/>
      <c r="AF20" s="139"/>
      <c r="AG20" s="688"/>
    </row>
    <row r="21" spans="1:33" ht="15.75" customHeight="1">
      <c r="B21" s="120"/>
      <c r="C21" s="140"/>
      <c r="D21" s="140"/>
      <c r="E21" s="140"/>
      <c r="F21" s="140"/>
      <c r="G21" s="140"/>
      <c r="H21" s="140"/>
      <c r="I21" s="140"/>
      <c r="J21" s="140"/>
      <c r="K21" s="140"/>
      <c r="L21" s="140"/>
      <c r="M21" s="140"/>
      <c r="N21" s="140"/>
      <c r="O21" s="140"/>
      <c r="P21" s="140"/>
      <c r="Q21" s="110"/>
      <c r="R21" s="110"/>
      <c r="S21" s="110"/>
      <c r="T21" s="110"/>
      <c r="U21" s="110"/>
      <c r="V21" s="140"/>
      <c r="W21" s="140"/>
      <c r="X21" s="140"/>
      <c r="Y21" s="140"/>
      <c r="Z21" s="142"/>
      <c r="AA21" s="142"/>
      <c r="AB21" s="143"/>
      <c r="AE21" s="143"/>
      <c r="AF21" s="143"/>
      <c r="AG21" s="142"/>
    </row>
    <row r="22" spans="1:33" ht="15.75" customHeight="1"/>
    <row r="23" spans="1:33" ht="15.75" customHeight="1">
      <c r="B23" s="55" t="s">
        <v>175</v>
      </c>
      <c r="C23" s="56" t="s">
        <v>96</v>
      </c>
      <c r="G23" s="55" t="s">
        <v>176</v>
      </c>
    </row>
    <row r="24" spans="1:33" ht="40.5" customHeight="1">
      <c r="B24" s="176" t="s">
        <v>177</v>
      </c>
      <c r="C24" s="177" t="s">
        <v>178</v>
      </c>
      <c r="G24" s="176" t="s">
        <v>177</v>
      </c>
      <c r="H24" s="178" t="s">
        <v>178</v>
      </c>
    </row>
    <row r="25" spans="1:33" ht="15.75" customHeight="1">
      <c r="B25" s="179" t="s">
        <v>179</v>
      </c>
      <c r="C25" s="180">
        <v>4.0000000000000001E-3</v>
      </c>
      <c r="G25" s="79" t="s">
        <v>180</v>
      </c>
      <c r="H25" s="181">
        <v>1.4999999999999999E-2</v>
      </c>
    </row>
    <row r="26" spans="1:33" ht="15.75" customHeight="1">
      <c r="B26" s="179" t="s">
        <v>181</v>
      </c>
      <c r="C26" s="180">
        <v>0.29799999999999999</v>
      </c>
      <c r="D26" s="167"/>
      <c r="E26" s="167"/>
      <c r="F26" s="167"/>
      <c r="G26" s="79" t="s">
        <v>158</v>
      </c>
      <c r="H26" s="181">
        <v>0.45900000000000002</v>
      </c>
    </row>
    <row r="27" spans="1:33" ht="15.75" customHeight="1">
      <c r="B27" s="179" t="s">
        <v>182</v>
      </c>
      <c r="C27" s="180">
        <v>8.9999999999999993E-3</v>
      </c>
      <c r="D27" s="167"/>
      <c r="E27" s="167"/>
      <c r="F27" s="167"/>
      <c r="G27" s="79" t="s">
        <v>183</v>
      </c>
      <c r="H27" s="181">
        <v>0.51900000000000002</v>
      </c>
    </row>
    <row r="28" spans="1:33" ht="15.75" customHeight="1">
      <c r="B28" s="179" t="s">
        <v>184</v>
      </c>
      <c r="C28" s="180">
        <v>0.65700000000000003</v>
      </c>
      <c r="D28" s="124"/>
      <c r="E28" s="124"/>
      <c r="F28" s="124"/>
      <c r="G28" s="79" t="s">
        <v>185</v>
      </c>
      <c r="H28" s="181">
        <v>4.0000000000000001E-3</v>
      </c>
    </row>
    <row r="29" spans="1:33" ht="15.75" customHeight="1">
      <c r="B29" s="179" t="s">
        <v>186</v>
      </c>
      <c r="C29" s="182">
        <v>0</v>
      </c>
      <c r="G29" s="79" t="s">
        <v>187</v>
      </c>
      <c r="H29" s="181">
        <v>4.0000000000000001E-3</v>
      </c>
    </row>
    <row r="30" spans="1:33" ht="15.75" customHeight="1">
      <c r="B30" s="179" t="s">
        <v>188</v>
      </c>
      <c r="C30" s="180">
        <v>2.5000000000000001E-2</v>
      </c>
    </row>
    <row r="31" spans="1:33" ht="15.75" customHeight="1">
      <c r="B31" s="179" t="s">
        <v>189</v>
      </c>
      <c r="C31" s="180">
        <v>6.0000000000000001E-3</v>
      </c>
      <c r="G31" s="55" t="s">
        <v>190</v>
      </c>
    </row>
    <row r="32" spans="1:33" ht="15.75" customHeight="1">
      <c r="B32" s="179" t="s">
        <v>191</v>
      </c>
      <c r="C32" s="182">
        <v>0</v>
      </c>
      <c r="D32" s="165"/>
      <c r="E32" s="169"/>
    </row>
    <row r="33" spans="2:10" ht="15.75" customHeight="1">
      <c r="B33" s="179" t="s">
        <v>173</v>
      </c>
      <c r="C33" s="180">
        <v>1E-3</v>
      </c>
      <c r="D33" s="165"/>
      <c r="E33" s="165"/>
      <c r="G33" s="79" t="s">
        <v>192</v>
      </c>
      <c r="H33" s="79" t="s">
        <v>193</v>
      </c>
      <c r="I33" s="79" t="s">
        <v>194</v>
      </c>
      <c r="J33" s="79" t="s">
        <v>159</v>
      </c>
    </row>
    <row r="34" spans="2:10" ht="15.75" customHeight="1">
      <c r="B34" s="163" t="s">
        <v>195</v>
      </c>
      <c r="C34" s="169"/>
      <c r="D34" s="165"/>
      <c r="E34" s="169"/>
      <c r="G34" s="183">
        <f>B36/C37*H27</f>
        <v>6.874172185430464E-3</v>
      </c>
      <c r="H34" s="183">
        <f>C36/C37*H27</f>
        <v>0.5121258278145695</v>
      </c>
      <c r="I34" s="77">
        <f>H26</f>
        <v>0.45900000000000002</v>
      </c>
      <c r="J34" s="77">
        <f>H25+H28+H29</f>
        <v>2.3E-2</v>
      </c>
    </row>
    <row r="35" spans="2:10" ht="15.75" customHeight="1">
      <c r="B35" s="130" t="s">
        <v>156</v>
      </c>
      <c r="C35" s="129" t="s">
        <v>157</v>
      </c>
      <c r="D35" s="130" t="s">
        <v>158</v>
      </c>
      <c r="E35" s="129" t="s">
        <v>159</v>
      </c>
    </row>
    <row r="36" spans="2:10" ht="15.75" customHeight="1">
      <c r="B36" s="184">
        <f>C25</f>
        <v>4.0000000000000001E-3</v>
      </c>
      <c r="C36" s="184">
        <f>C26</f>
        <v>0.29799999999999999</v>
      </c>
      <c r="D36" s="184">
        <f>C30+C32+C31+C28</f>
        <v>0.68800000000000006</v>
      </c>
      <c r="E36" s="184">
        <f>C27+C29+C33</f>
        <v>9.9999999999999985E-3</v>
      </c>
      <c r="F36" s="165"/>
    </row>
    <row r="37" spans="2:10" ht="15.75" customHeight="1">
      <c r="B37" s="165" t="s">
        <v>196</v>
      </c>
      <c r="C37" s="171">
        <f>C36+B36</f>
        <v>0.30199999999999999</v>
      </c>
      <c r="D37" s="165"/>
      <c r="E37" s="165"/>
      <c r="F37" s="165"/>
    </row>
    <row r="38" spans="2:10" ht="15.75" customHeight="1">
      <c r="B38" s="163" t="s">
        <v>197</v>
      </c>
      <c r="C38" s="172"/>
      <c r="D38" s="165"/>
      <c r="E38" s="165"/>
      <c r="F38" s="165"/>
    </row>
    <row r="39" spans="2:10" ht="46.95" customHeight="1">
      <c r="B39" s="714" t="s">
        <v>221</v>
      </c>
      <c r="C39" s="688"/>
      <c r="D39" s="688"/>
      <c r="E39" s="688"/>
      <c r="F39" s="165"/>
    </row>
    <row r="40" spans="2:10" ht="15.75" customHeight="1">
      <c r="B40" s="163" t="s">
        <v>198</v>
      </c>
      <c r="C40" s="165"/>
      <c r="D40" s="165"/>
      <c r="E40" s="165"/>
      <c r="F40" s="165"/>
    </row>
    <row r="41" spans="2:10" ht="54" customHeight="1">
      <c r="B41" s="715" t="s">
        <v>222</v>
      </c>
      <c r="C41" s="716"/>
      <c r="D41" s="716"/>
      <c r="E41" s="165"/>
      <c r="F41" s="165"/>
    </row>
    <row r="42" spans="2:10" ht="15.75" customHeight="1">
      <c r="B42" s="165"/>
      <c r="C42" s="169"/>
      <c r="D42" s="165"/>
      <c r="E42" s="165"/>
      <c r="F42" s="165"/>
    </row>
    <row r="43" spans="2:10" ht="54.75" customHeight="1">
      <c r="B43" s="706" t="s">
        <v>199</v>
      </c>
      <c r="C43" s="688"/>
      <c r="D43" s="688"/>
      <c r="E43" s="165"/>
      <c r="F43" s="165"/>
    </row>
    <row r="44" spans="2:10" ht="15.75" customHeight="1"/>
    <row r="45" spans="2:10" ht="15.75" customHeight="1">
      <c r="B45" s="55" t="s">
        <v>200</v>
      </c>
    </row>
    <row r="46" spans="2:10" ht="15.75" customHeight="1">
      <c r="B46" s="56" t="s">
        <v>201</v>
      </c>
    </row>
    <row r="47" spans="2:10" ht="15.75" customHeight="1">
      <c r="B47" s="185" t="s">
        <v>202</v>
      </c>
    </row>
    <row r="48" spans="2:10" ht="15.75" customHeight="1"/>
    <row r="49" spans="2:2" ht="15.75" customHeight="1">
      <c r="B49" s="56" t="s">
        <v>203</v>
      </c>
    </row>
    <row r="50" spans="2:2" ht="15.75" customHeight="1">
      <c r="B50" s="185" t="s">
        <v>204</v>
      </c>
    </row>
    <row r="51" spans="2:2" ht="15.75" customHeight="1"/>
    <row r="52" spans="2:2" ht="15.75" customHeight="1"/>
    <row r="53" spans="2:2" ht="15.75" customHeight="1"/>
    <row r="54" spans="2:2" ht="15.75" customHeight="1"/>
    <row r="55" spans="2:2" ht="15.75" customHeight="1"/>
    <row r="56" spans="2:2" ht="15.75" customHeight="1"/>
    <row r="57" spans="2:2" ht="15.75" customHeight="1"/>
    <row r="58" spans="2:2" ht="15.75" customHeight="1"/>
    <row r="59" spans="2:2" ht="15.75" customHeight="1"/>
    <row r="60" spans="2:2" ht="15.75" customHeight="1"/>
    <row r="61" spans="2:2" ht="15.75" customHeight="1"/>
    <row r="62" spans="2:2" ht="15.75" customHeight="1"/>
    <row r="63" spans="2:2" ht="15.75" customHeight="1"/>
    <row r="64" spans="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B41:D41"/>
    <mergeCell ref="B43:D43"/>
    <mergeCell ref="Z19:AB19"/>
    <mergeCell ref="AC19:AC20"/>
    <mergeCell ref="AD19:AD20"/>
    <mergeCell ref="AE19:AF19"/>
    <mergeCell ref="AG19:AG20"/>
    <mergeCell ref="B39:E39"/>
    <mergeCell ref="Z18:AG18"/>
    <mergeCell ref="Q19:Q20"/>
    <mergeCell ref="R19:R20"/>
    <mergeCell ref="S19:S20"/>
    <mergeCell ref="T19:T20"/>
    <mergeCell ref="U19:U20"/>
    <mergeCell ref="V19:V20"/>
    <mergeCell ref="W19:W20"/>
    <mergeCell ref="X19:X20"/>
    <mergeCell ref="Y19:Y20"/>
    <mergeCell ref="V18:Y18"/>
    <mergeCell ref="B2:E2"/>
    <mergeCell ref="C5:F5"/>
    <mergeCell ref="G5:J5"/>
    <mergeCell ref="C18:F18"/>
    <mergeCell ref="G18:J18"/>
  </mergeCells>
  <hyperlinks>
    <hyperlink ref="B47" r:id="rId1" xr:uid="{45D7E8F0-500D-4C0D-9602-59830ACC6841}"/>
    <hyperlink ref="B50" r:id="rId2" xr:uid="{64A6491B-AA92-48F5-8FC6-73A5F22BD03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5058C-0D6F-4BB9-96BF-41A21547520B}">
  <sheetPr>
    <tabColor theme="9" tint="0.59999389629810485"/>
    <outlinePr summaryBelow="0" summaryRight="0"/>
  </sheetPr>
  <dimension ref="A1:S53"/>
  <sheetViews>
    <sheetView workbookViewId="0">
      <selection activeCell="B21" sqref="B21"/>
    </sheetView>
  </sheetViews>
  <sheetFormatPr defaultColWidth="12.6640625" defaultRowHeight="15" customHeight="1"/>
  <cols>
    <col min="1" max="2" width="12.6640625" style="10"/>
    <col min="3" max="3" width="19.21875" style="10" customWidth="1"/>
    <col min="4" max="4" width="16.21875" style="10" customWidth="1"/>
    <col min="5" max="5" width="15.77734375" style="10" customWidth="1"/>
    <col min="6" max="6" width="23.77734375" style="10" customWidth="1"/>
    <col min="7" max="7" width="28.5546875" style="10" customWidth="1"/>
    <col min="8" max="9" width="12.6640625" style="10"/>
    <col min="10" max="10" width="16" style="10" customWidth="1"/>
    <col min="11" max="16384" width="12.6640625" style="10"/>
  </cols>
  <sheetData>
    <row r="1" spans="1:19" ht="14.4">
      <c r="A1" s="186" t="s">
        <v>205</v>
      </c>
      <c r="B1" s="56"/>
      <c r="C1" s="56"/>
      <c r="D1" s="56"/>
      <c r="E1" s="56"/>
      <c r="F1" s="56"/>
      <c r="G1" s="56"/>
      <c r="H1" s="56"/>
      <c r="I1" s="56"/>
      <c r="J1" s="56"/>
      <c r="K1" s="56"/>
      <c r="L1" s="56"/>
      <c r="M1" s="56"/>
      <c r="N1" s="56"/>
      <c r="O1" s="56"/>
      <c r="P1" s="56"/>
      <c r="Q1" s="56"/>
      <c r="R1" s="56"/>
      <c r="S1" s="56"/>
    </row>
    <row r="2" spans="1:19" ht="14.4">
      <c r="A2" s="186"/>
      <c r="B2" s="56"/>
      <c r="C2" s="56"/>
      <c r="D2" s="56"/>
      <c r="E2" s="56"/>
      <c r="F2" s="56"/>
      <c r="G2" s="56"/>
      <c r="H2" s="56"/>
      <c r="I2" s="56"/>
      <c r="J2" s="56"/>
      <c r="K2" s="56"/>
      <c r="L2" s="56"/>
      <c r="M2" s="56"/>
      <c r="N2" s="56"/>
      <c r="O2" s="56"/>
      <c r="P2" s="56"/>
      <c r="Q2" s="56"/>
      <c r="R2" s="56"/>
      <c r="S2" s="56"/>
    </row>
    <row r="3" spans="1:19" ht="13.8">
      <c r="A3" s="56"/>
      <c r="B3" s="173" t="s">
        <v>228</v>
      </c>
      <c r="C3" s="56"/>
      <c r="D3" s="56"/>
      <c r="E3" s="56"/>
      <c r="F3" s="56"/>
      <c r="G3" s="56"/>
      <c r="H3" s="56"/>
      <c r="I3" s="56"/>
      <c r="J3" s="56"/>
      <c r="K3" s="56"/>
      <c r="L3" s="56"/>
      <c r="M3" s="56"/>
      <c r="N3" s="56"/>
      <c r="O3" s="56"/>
      <c r="P3" s="56"/>
      <c r="Q3" s="56"/>
      <c r="R3" s="56"/>
      <c r="S3" s="56"/>
    </row>
    <row r="4" spans="1:19" ht="14.4">
      <c r="A4" s="56"/>
      <c r="B4" s="300" t="s">
        <v>8</v>
      </c>
      <c r="C4" s="719" t="s">
        <v>229</v>
      </c>
      <c r="D4" s="720"/>
      <c r="E4" s="720"/>
      <c r="F4" s="721"/>
      <c r="G4" s="719" t="s">
        <v>230</v>
      </c>
      <c r="H4" s="720"/>
      <c r="I4" s="720"/>
      <c r="J4" s="721"/>
      <c r="K4" s="56"/>
      <c r="L4" s="56"/>
      <c r="M4" s="56"/>
      <c r="N4" s="56"/>
      <c r="O4" s="56"/>
      <c r="P4" s="56"/>
      <c r="Q4" s="56"/>
      <c r="R4" s="56"/>
      <c r="S4" s="56"/>
    </row>
    <row r="5" spans="1:19" ht="15" customHeight="1">
      <c r="A5" s="56"/>
      <c r="B5" s="301" t="s">
        <v>0</v>
      </c>
      <c r="C5" s="187" t="s">
        <v>156</v>
      </c>
      <c r="D5" s="188" t="s">
        <v>157</v>
      </c>
      <c r="E5" s="189" t="s">
        <v>158</v>
      </c>
      <c r="F5" s="188" t="s">
        <v>159</v>
      </c>
      <c r="G5" s="187" t="s">
        <v>156</v>
      </c>
      <c r="H5" s="188" t="s">
        <v>157</v>
      </c>
      <c r="I5" s="189" t="s">
        <v>158</v>
      </c>
      <c r="J5" s="188" t="s">
        <v>159</v>
      </c>
      <c r="K5" s="56"/>
      <c r="L5" s="56"/>
      <c r="M5" s="56"/>
      <c r="N5" s="56"/>
      <c r="O5" s="56"/>
      <c r="P5" s="56"/>
      <c r="Q5" s="56"/>
      <c r="R5" s="56"/>
      <c r="S5" s="56"/>
    </row>
    <row r="6" spans="1:19" ht="14.4">
      <c r="A6" s="56"/>
      <c r="B6" s="79"/>
      <c r="C6" s="190">
        <v>0</v>
      </c>
      <c r="D6" s="190">
        <f>D13*' degree of utilization'!$E$19*'State total population'!$F$5</f>
        <v>5507838.4000000004</v>
      </c>
      <c r="E6" s="190">
        <f>E13*' degree of utilization'!$E$19*'State total population'!$F$5</f>
        <v>19216124.52</v>
      </c>
      <c r="F6" s="190">
        <f>F13*' degree of utilization'!$E$19*'State total population'!$F$5</f>
        <v>402283.27</v>
      </c>
      <c r="G6" s="191">
        <v>0</v>
      </c>
      <c r="H6" s="190">
        <f>H13*' degree of utilization'!$O$19*'State total population'!$P$5</f>
        <v>1911888</v>
      </c>
      <c r="I6" s="190">
        <f>I13*' degree of utilization'!$O$19*'State total population'!$P$5</f>
        <v>10434160</v>
      </c>
      <c r="J6" s="190">
        <f>J13*' degree of utilization'!$O$19*'State total population'!$P$5</f>
        <v>149952</v>
      </c>
      <c r="K6" s="56"/>
      <c r="L6" s="56"/>
      <c r="M6" s="56"/>
      <c r="N6" s="56"/>
      <c r="O6" s="56"/>
      <c r="P6" s="56"/>
      <c r="Q6" s="56"/>
      <c r="R6" s="56"/>
      <c r="S6" s="56"/>
    </row>
    <row r="7" spans="1:19" ht="15" customHeight="1">
      <c r="A7" s="56"/>
      <c r="B7" s="56"/>
      <c r="C7" s="56"/>
      <c r="D7" s="56"/>
      <c r="E7" s="56"/>
      <c r="F7" s="56"/>
      <c r="G7" s="56"/>
      <c r="H7" s="56"/>
      <c r="I7" s="56"/>
      <c r="J7" s="56"/>
      <c r="K7" s="56"/>
      <c r="L7" s="56"/>
      <c r="M7" s="56"/>
      <c r="N7" s="56"/>
      <c r="O7" s="56"/>
      <c r="P7" s="56"/>
      <c r="Q7" s="56"/>
      <c r="R7" s="56"/>
      <c r="S7" s="56"/>
    </row>
    <row r="8" spans="1:19" ht="15" customHeight="1">
      <c r="A8" s="56"/>
      <c r="B8" s="56"/>
      <c r="C8" s="56"/>
      <c r="D8" s="56"/>
      <c r="E8" s="56"/>
      <c r="F8" s="56"/>
      <c r="G8" s="56"/>
      <c r="H8" s="56"/>
      <c r="I8" s="56"/>
      <c r="J8" s="56"/>
      <c r="K8" s="56"/>
      <c r="L8" s="56"/>
      <c r="M8" s="56"/>
      <c r="N8" s="56"/>
      <c r="O8" s="56"/>
      <c r="P8" s="56"/>
      <c r="Q8" s="56"/>
      <c r="R8" s="56"/>
      <c r="S8" s="56"/>
    </row>
    <row r="9" spans="1:19" ht="13.8">
      <c r="A9" s="56"/>
      <c r="B9" s="173" t="s">
        <v>174</v>
      </c>
      <c r="C9" s="56"/>
      <c r="D9" s="56"/>
      <c r="E9" s="56"/>
      <c r="F9" s="56"/>
      <c r="G9" s="56"/>
      <c r="H9" s="56"/>
      <c r="I9" s="56"/>
      <c r="J9" s="56"/>
      <c r="K9" s="56"/>
      <c r="L9" s="56"/>
      <c r="M9" s="56"/>
      <c r="N9" s="56"/>
      <c r="O9" s="56"/>
      <c r="P9" s="56"/>
      <c r="Q9" s="56"/>
      <c r="R9" s="56"/>
      <c r="S9" s="56"/>
    </row>
    <row r="10" spans="1:19" ht="15" customHeight="1">
      <c r="A10" s="56"/>
      <c r="B10" s="153"/>
      <c r="C10" s="153"/>
      <c r="D10" s="153"/>
      <c r="E10" s="153"/>
      <c r="F10" s="153"/>
      <c r="G10" s="153"/>
      <c r="H10" s="153"/>
      <c r="I10" s="153"/>
      <c r="J10" s="153"/>
      <c r="K10" s="56"/>
      <c r="L10" s="56"/>
      <c r="M10" s="56"/>
      <c r="N10" s="56"/>
      <c r="O10" s="56"/>
      <c r="P10" s="56"/>
      <c r="Q10" s="56"/>
      <c r="R10" s="56"/>
      <c r="S10" s="56"/>
    </row>
    <row r="11" spans="1:19" ht="14.4">
      <c r="A11" s="145"/>
      <c r="B11" s="302" t="s">
        <v>8</v>
      </c>
      <c r="C11" s="722" t="s">
        <v>232</v>
      </c>
      <c r="D11" s="723"/>
      <c r="E11" s="723"/>
      <c r="F11" s="724"/>
      <c r="G11" s="722" t="s">
        <v>233</v>
      </c>
      <c r="H11" s="723"/>
      <c r="I11" s="723"/>
      <c r="J11" s="724"/>
      <c r="K11" s="56"/>
      <c r="L11" s="56"/>
      <c r="M11" s="56"/>
      <c r="N11" s="56"/>
      <c r="O11" s="56"/>
      <c r="P11" s="56"/>
      <c r="Q11" s="56"/>
      <c r="R11" s="56"/>
      <c r="S11" s="56"/>
    </row>
    <row r="12" spans="1:19" ht="15" customHeight="1">
      <c r="A12" s="145"/>
      <c r="B12" s="303" t="s">
        <v>0</v>
      </c>
      <c r="C12" s="192" t="s">
        <v>156</v>
      </c>
      <c r="D12" s="193" t="s">
        <v>157</v>
      </c>
      <c r="E12" s="194" t="s">
        <v>158</v>
      </c>
      <c r="F12" s="193" t="s">
        <v>159</v>
      </c>
      <c r="G12" s="192" t="s">
        <v>156</v>
      </c>
      <c r="H12" s="193" t="s">
        <v>157</v>
      </c>
      <c r="I12" s="194" t="s">
        <v>158</v>
      </c>
      <c r="J12" s="193" t="s">
        <v>159</v>
      </c>
      <c r="K12" s="56"/>
      <c r="L12" s="56"/>
      <c r="M12" s="56"/>
      <c r="N12" s="56"/>
      <c r="O12" s="56"/>
      <c r="P12" s="56"/>
      <c r="Q12" s="56"/>
      <c r="R12" s="56"/>
      <c r="S12" s="56"/>
    </row>
    <row r="13" spans="1:19" ht="14.4">
      <c r="A13" s="145"/>
      <c r="B13" s="195"/>
      <c r="C13" s="196">
        <f>G27</f>
        <v>0</v>
      </c>
      <c r="D13" s="196">
        <f>H27</f>
        <v>0.21920000000000001</v>
      </c>
      <c r="E13" s="197">
        <f>I27</f>
        <v>0.76476</v>
      </c>
      <c r="F13" s="197">
        <f>J27</f>
        <v>1.601E-2</v>
      </c>
      <c r="G13" s="198">
        <f>B29</f>
        <v>0</v>
      </c>
      <c r="H13" s="197">
        <f>C29</f>
        <v>0.153</v>
      </c>
      <c r="I13" s="197">
        <f>D29</f>
        <v>0.83500000000000008</v>
      </c>
      <c r="J13" s="198">
        <f>E29</f>
        <v>1.2E-2</v>
      </c>
      <c r="K13" s="56"/>
      <c r="L13" s="56"/>
      <c r="M13" s="56"/>
      <c r="N13" s="56"/>
      <c r="O13" s="56"/>
      <c r="P13" s="56"/>
      <c r="Q13" s="56"/>
      <c r="R13" s="56"/>
      <c r="S13" s="56"/>
    </row>
    <row r="14" spans="1:19" ht="15" customHeight="1">
      <c r="A14" s="56"/>
      <c r="B14" s="56"/>
      <c r="C14" s="76"/>
      <c r="D14" s="76"/>
      <c r="E14" s="76"/>
      <c r="F14" s="76"/>
      <c r="G14" s="76"/>
      <c r="H14" s="76"/>
      <c r="I14" s="76"/>
      <c r="J14" s="76"/>
      <c r="K14" s="76"/>
      <c r="L14" s="76"/>
      <c r="M14" s="76"/>
      <c r="N14" s="76"/>
      <c r="O14" s="76"/>
      <c r="P14" s="56"/>
      <c r="Q14" s="56"/>
      <c r="R14" s="56"/>
      <c r="S14" s="56"/>
    </row>
    <row r="15" spans="1:19" ht="15" customHeight="1">
      <c r="A15" s="56"/>
      <c r="B15" s="56"/>
      <c r="C15" s="56"/>
      <c r="D15" s="56"/>
      <c r="E15" s="56"/>
      <c r="F15" s="56"/>
      <c r="G15" s="56"/>
      <c r="H15" s="56"/>
      <c r="I15" s="56"/>
      <c r="J15" s="56"/>
      <c r="K15" s="56"/>
      <c r="L15" s="56"/>
      <c r="M15" s="56"/>
      <c r="N15" s="56"/>
      <c r="O15" s="56"/>
      <c r="P15" s="56"/>
      <c r="Q15" s="56"/>
      <c r="R15" s="56"/>
      <c r="S15" s="56"/>
    </row>
    <row r="16" spans="1:19" ht="13.8">
      <c r="A16" s="56"/>
      <c r="B16" s="199" t="s">
        <v>175</v>
      </c>
      <c r="C16" s="153"/>
      <c r="D16" s="56"/>
      <c r="E16" s="56"/>
      <c r="F16" s="56"/>
      <c r="G16" s="199" t="s">
        <v>176</v>
      </c>
      <c r="H16" s="153"/>
      <c r="I16" s="56"/>
      <c r="J16" s="56"/>
      <c r="K16" s="56"/>
      <c r="L16" s="56"/>
      <c r="M16" s="56"/>
      <c r="N16" s="56"/>
      <c r="O16" s="56"/>
      <c r="P16" s="56"/>
      <c r="Q16" s="56"/>
      <c r="R16" s="56"/>
      <c r="S16" s="56"/>
    </row>
    <row r="17" spans="1:19" ht="15" customHeight="1">
      <c r="A17" s="145"/>
      <c r="B17" s="200" t="s">
        <v>177</v>
      </c>
      <c r="C17" s="201" t="s">
        <v>178</v>
      </c>
      <c r="D17" s="56"/>
      <c r="E17" s="56"/>
      <c r="F17" s="145"/>
      <c r="G17" s="200" t="s">
        <v>177</v>
      </c>
      <c r="H17" s="202" t="s">
        <v>178</v>
      </c>
      <c r="I17" s="56"/>
      <c r="J17" s="56"/>
      <c r="K17" s="56"/>
      <c r="L17" s="56"/>
      <c r="M17" s="56"/>
      <c r="N17" s="56"/>
      <c r="O17" s="56"/>
      <c r="P17" s="56"/>
      <c r="Q17" s="56"/>
      <c r="R17" s="56"/>
      <c r="S17" s="56"/>
    </row>
    <row r="18" spans="1:19" ht="15" customHeight="1">
      <c r="A18" s="145"/>
      <c r="B18" s="194" t="s">
        <v>179</v>
      </c>
      <c r="C18" s="203">
        <v>2E-3</v>
      </c>
      <c r="D18" s="56"/>
      <c r="E18" s="56"/>
      <c r="F18" s="145"/>
      <c r="G18" s="195" t="s">
        <v>180</v>
      </c>
      <c r="H18" s="203">
        <v>1.201E-2</v>
      </c>
      <c r="I18" s="56"/>
      <c r="J18" s="56"/>
      <c r="K18" s="56"/>
      <c r="L18" s="56"/>
      <c r="M18" s="56"/>
      <c r="N18" s="56"/>
      <c r="O18" s="56"/>
      <c r="P18" s="56"/>
      <c r="Q18" s="56"/>
      <c r="R18" s="56"/>
      <c r="S18" s="56"/>
    </row>
    <row r="19" spans="1:19" ht="15" customHeight="1">
      <c r="A19" s="204"/>
      <c r="B19" s="194" t="s">
        <v>181</v>
      </c>
      <c r="C19" s="203">
        <v>0.153</v>
      </c>
      <c r="D19" s="205"/>
      <c r="E19" s="205"/>
      <c r="F19" s="204"/>
      <c r="G19" s="195" t="s">
        <v>158</v>
      </c>
      <c r="H19" s="203">
        <v>0.76476</v>
      </c>
      <c r="I19" s="56"/>
      <c r="J19" s="56"/>
      <c r="K19" s="56"/>
      <c r="L19" s="56"/>
      <c r="M19" s="56"/>
      <c r="N19" s="56"/>
      <c r="O19" s="56"/>
      <c r="P19" s="56"/>
      <c r="Q19" s="56"/>
      <c r="R19" s="56"/>
      <c r="S19" s="56"/>
    </row>
    <row r="20" spans="1:19" ht="15" customHeight="1">
      <c r="A20" s="204"/>
      <c r="B20" s="194" t="s">
        <v>182</v>
      </c>
      <c r="C20" s="203">
        <v>0.01</v>
      </c>
      <c r="D20" s="205"/>
      <c r="E20" s="205"/>
      <c r="F20" s="204"/>
      <c r="G20" s="195" t="s">
        <v>183</v>
      </c>
      <c r="H20" s="203">
        <v>0.21920000000000001</v>
      </c>
      <c r="I20" s="56"/>
      <c r="J20" s="56"/>
      <c r="K20" s="56"/>
      <c r="L20" s="56"/>
      <c r="M20" s="56"/>
      <c r="N20" s="56"/>
      <c r="O20" s="56"/>
      <c r="P20" s="56"/>
      <c r="Q20" s="56"/>
      <c r="R20" s="56"/>
      <c r="S20" s="56"/>
    </row>
    <row r="21" spans="1:19" ht="15" customHeight="1">
      <c r="A21" s="145"/>
      <c r="B21" s="194" t="s">
        <v>184</v>
      </c>
      <c r="C21" s="203">
        <v>0.78800000000000003</v>
      </c>
      <c r="D21" s="56"/>
      <c r="E21" s="56"/>
      <c r="F21" s="145"/>
      <c r="G21" s="195" t="s">
        <v>185</v>
      </c>
      <c r="H21" s="203">
        <v>1E-3</v>
      </c>
      <c r="I21" s="56"/>
      <c r="J21" s="56"/>
      <c r="K21" s="56"/>
      <c r="L21" s="56"/>
      <c r="M21" s="56"/>
      <c r="N21" s="56"/>
      <c r="O21" s="56"/>
      <c r="P21" s="56"/>
      <c r="Q21" s="56"/>
      <c r="R21" s="56"/>
      <c r="S21" s="56"/>
    </row>
    <row r="22" spans="1:19" ht="15" customHeight="1">
      <c r="A22" s="145"/>
      <c r="B22" s="194" t="s">
        <v>186</v>
      </c>
      <c r="C22" s="206">
        <v>0</v>
      </c>
      <c r="D22" s="56"/>
      <c r="E22" s="56"/>
      <c r="F22" s="145"/>
      <c r="G22" s="195" t="s">
        <v>187</v>
      </c>
      <c r="H22" s="203">
        <v>3.0000000000000001E-3</v>
      </c>
      <c r="I22" s="56"/>
      <c r="J22" s="56"/>
      <c r="K22" s="56"/>
      <c r="L22" s="56"/>
      <c r="M22" s="56"/>
      <c r="N22" s="56"/>
      <c r="O22" s="56"/>
      <c r="P22" s="56"/>
      <c r="Q22" s="56"/>
      <c r="R22" s="56"/>
      <c r="S22" s="56"/>
    </row>
    <row r="23" spans="1:19" ht="15" customHeight="1">
      <c r="A23" s="145"/>
      <c r="B23" s="194" t="s">
        <v>188</v>
      </c>
      <c r="C23" s="203">
        <v>3.1E-2</v>
      </c>
      <c r="D23" s="56"/>
      <c r="E23" s="56"/>
      <c r="F23" s="56"/>
      <c r="G23" s="56"/>
      <c r="H23" s="56"/>
      <c r="I23" s="56"/>
      <c r="J23" s="56"/>
      <c r="K23" s="56"/>
      <c r="L23" s="56"/>
      <c r="M23" s="56"/>
      <c r="N23" s="56"/>
      <c r="O23" s="56"/>
      <c r="P23" s="56"/>
      <c r="Q23" s="56"/>
      <c r="R23" s="56"/>
      <c r="S23" s="56"/>
    </row>
    <row r="24" spans="1:19" ht="15" customHeight="1">
      <c r="A24" s="145"/>
      <c r="B24" s="194" t="s">
        <v>189</v>
      </c>
      <c r="C24" s="203">
        <v>1.6E-2</v>
      </c>
      <c r="D24" s="56"/>
      <c r="E24" s="56"/>
      <c r="F24" s="56"/>
      <c r="G24" s="55" t="s">
        <v>190</v>
      </c>
      <c r="H24" s="56"/>
      <c r="I24" s="56"/>
      <c r="J24" s="56"/>
      <c r="K24" s="56"/>
      <c r="L24" s="56"/>
      <c r="M24" s="56"/>
      <c r="N24" s="56"/>
      <c r="O24" s="56"/>
      <c r="P24" s="56"/>
      <c r="Q24" s="56"/>
      <c r="R24" s="56"/>
      <c r="S24" s="56"/>
    </row>
    <row r="25" spans="1:19" ht="15" customHeight="1">
      <c r="A25" s="145"/>
      <c r="B25" s="194" t="s">
        <v>191</v>
      </c>
      <c r="C25" s="206">
        <v>0</v>
      </c>
      <c r="D25" s="56"/>
      <c r="E25" s="56"/>
      <c r="F25" s="56"/>
      <c r="G25" s="153"/>
      <c r="H25" s="153"/>
      <c r="I25" s="153"/>
      <c r="J25" s="153"/>
      <c r="K25" s="56"/>
      <c r="L25" s="56"/>
      <c r="M25" s="56"/>
      <c r="N25" s="56"/>
      <c r="O25" s="56"/>
      <c r="P25" s="56"/>
      <c r="Q25" s="56"/>
      <c r="R25" s="56"/>
      <c r="S25" s="56"/>
    </row>
    <row r="26" spans="1:19" ht="14.4">
      <c r="A26" s="145"/>
      <c r="B26" s="194" t="s">
        <v>173</v>
      </c>
      <c r="C26" s="203">
        <v>0</v>
      </c>
      <c r="D26" s="56"/>
      <c r="E26" s="56"/>
      <c r="F26" s="145"/>
      <c r="G26" s="195" t="s">
        <v>192</v>
      </c>
      <c r="H26" s="195" t="s">
        <v>193</v>
      </c>
      <c r="I26" s="195" t="s">
        <v>194</v>
      </c>
      <c r="J26" s="195" t="s">
        <v>159</v>
      </c>
      <c r="K26" s="56"/>
      <c r="L26" s="56"/>
      <c r="M26" s="56"/>
      <c r="N26" s="56"/>
      <c r="O26" s="56"/>
      <c r="P26" s="56"/>
      <c r="Q26" s="56"/>
      <c r="R26" s="56"/>
      <c r="S26" s="56"/>
    </row>
    <row r="27" spans="1:19" ht="14.4">
      <c r="A27" s="56"/>
      <c r="B27" s="201" t="s">
        <v>195</v>
      </c>
      <c r="C27" s="153"/>
      <c r="D27" s="153"/>
      <c r="E27" s="153"/>
      <c r="F27" s="145"/>
      <c r="G27" s="207">
        <f>B29/C30*H20</f>
        <v>0</v>
      </c>
      <c r="H27" s="207">
        <f>C29/C30*H20</f>
        <v>0.21920000000000001</v>
      </c>
      <c r="I27" s="208">
        <f>H19</f>
        <v>0.76476</v>
      </c>
      <c r="J27" s="208">
        <f>H18+H21+H22</f>
        <v>1.601E-2</v>
      </c>
      <c r="K27" s="56"/>
      <c r="L27" s="56"/>
      <c r="M27" s="56"/>
      <c r="N27" s="56"/>
      <c r="O27" s="56"/>
      <c r="P27" s="56"/>
      <c r="Q27" s="56"/>
      <c r="R27" s="56"/>
      <c r="S27" s="56"/>
    </row>
    <row r="28" spans="1:19" ht="14.4">
      <c r="A28" s="145"/>
      <c r="B28" s="194" t="s">
        <v>156</v>
      </c>
      <c r="C28" s="193" t="s">
        <v>157</v>
      </c>
      <c r="D28" s="194" t="s">
        <v>158</v>
      </c>
      <c r="E28" s="193" t="s">
        <v>159</v>
      </c>
      <c r="F28" s="56"/>
      <c r="G28" s="56"/>
      <c r="H28" s="56"/>
      <c r="I28" s="56"/>
      <c r="J28" s="56"/>
      <c r="K28" s="56"/>
      <c r="L28" s="56"/>
      <c r="M28" s="56"/>
      <c r="N28" s="56"/>
      <c r="O28" s="56"/>
      <c r="P28" s="56"/>
      <c r="Q28" s="56"/>
      <c r="R28" s="56"/>
      <c r="S28" s="56"/>
    </row>
    <row r="29" spans="1:19" ht="14.4">
      <c r="A29" s="145"/>
      <c r="B29" s="203">
        <v>0</v>
      </c>
      <c r="C29" s="203">
        <f>C19</f>
        <v>0.153</v>
      </c>
      <c r="D29" s="203">
        <f>C23+C25+C24+C21</f>
        <v>0.83500000000000008</v>
      </c>
      <c r="E29" s="203">
        <f>C20+C22+C26+C18</f>
        <v>1.2E-2</v>
      </c>
      <c r="F29" s="56"/>
      <c r="G29" s="56"/>
      <c r="H29" s="56"/>
      <c r="I29" s="56"/>
      <c r="J29" s="56"/>
      <c r="K29" s="56"/>
      <c r="L29" s="56"/>
      <c r="M29" s="56"/>
      <c r="N29" s="56"/>
      <c r="O29" s="56"/>
      <c r="P29" s="56"/>
      <c r="Q29" s="56"/>
      <c r="R29" s="56"/>
      <c r="S29" s="56"/>
    </row>
    <row r="30" spans="1:19" ht="14.4">
      <c r="A30" s="56"/>
      <c r="B30" s="209" t="s">
        <v>196</v>
      </c>
      <c r="C30" s="210">
        <f>C29+B29</f>
        <v>0.153</v>
      </c>
      <c r="D30" s="56"/>
      <c r="E30" s="56"/>
      <c r="F30" s="56"/>
      <c r="G30" s="56"/>
      <c r="H30" s="56"/>
      <c r="I30" s="56"/>
      <c r="J30" s="56"/>
      <c r="K30" s="56"/>
      <c r="L30" s="56"/>
      <c r="M30" s="56"/>
      <c r="N30" s="56"/>
      <c r="O30" s="56"/>
      <c r="P30" s="56"/>
      <c r="Q30" s="56"/>
      <c r="R30" s="56"/>
      <c r="S30" s="56"/>
    </row>
    <row r="31" spans="1:19" ht="14.4">
      <c r="A31" s="56"/>
      <c r="B31" s="211" t="s">
        <v>197</v>
      </c>
      <c r="C31" s="56"/>
      <c r="D31" s="56"/>
      <c r="E31" s="56"/>
      <c r="F31" s="56"/>
      <c r="G31" s="56"/>
      <c r="H31" s="56"/>
      <c r="I31" s="56"/>
      <c r="J31" s="56"/>
      <c r="K31" s="56"/>
      <c r="L31" s="56"/>
      <c r="M31" s="56"/>
      <c r="N31" s="56"/>
      <c r="O31" s="56"/>
      <c r="P31" s="56"/>
      <c r="Q31" s="56"/>
      <c r="R31" s="56"/>
      <c r="S31" s="56"/>
    </row>
    <row r="32" spans="1:19" ht="13.8">
      <c r="A32" s="56"/>
      <c r="B32" s="725" t="s">
        <v>206</v>
      </c>
      <c r="C32" s="688"/>
      <c r="D32" s="688"/>
      <c r="E32" s="688"/>
      <c r="F32" s="688"/>
      <c r="G32" s="688"/>
      <c r="H32" s="56"/>
      <c r="I32" s="56"/>
      <c r="J32" s="56"/>
      <c r="K32" s="56"/>
      <c r="L32" s="56"/>
      <c r="M32" s="56"/>
      <c r="N32" s="56"/>
      <c r="O32" s="56"/>
      <c r="P32" s="56"/>
      <c r="Q32" s="56"/>
      <c r="R32" s="56"/>
      <c r="S32" s="56"/>
    </row>
    <row r="33" spans="1:19" ht="14.4">
      <c r="A33" s="56"/>
      <c r="B33" s="211" t="s">
        <v>198</v>
      </c>
      <c r="C33" s="56"/>
      <c r="D33" s="56"/>
      <c r="E33" s="56"/>
      <c r="F33" s="56"/>
      <c r="G33" s="56"/>
      <c r="H33" s="56"/>
      <c r="I33" s="56"/>
      <c r="J33" s="56"/>
      <c r="K33" s="56"/>
      <c r="L33" s="56"/>
      <c r="M33" s="56"/>
      <c r="N33" s="56"/>
      <c r="O33" s="56"/>
      <c r="P33" s="56"/>
      <c r="Q33" s="56"/>
      <c r="R33" s="56"/>
      <c r="S33" s="56"/>
    </row>
    <row r="34" spans="1:19" ht="88.5" customHeight="1">
      <c r="A34" s="56"/>
      <c r="B34" s="717" t="s">
        <v>231</v>
      </c>
      <c r="C34" s="717"/>
      <c r="D34" s="717"/>
      <c r="E34" s="717"/>
      <c r="F34" s="717"/>
      <c r="G34" s="717"/>
      <c r="H34" s="56"/>
      <c r="I34" s="56"/>
      <c r="J34" s="56"/>
      <c r="K34" s="56"/>
      <c r="L34" s="56"/>
      <c r="M34" s="56"/>
      <c r="N34" s="56"/>
      <c r="O34" s="56"/>
      <c r="P34" s="56"/>
      <c r="Q34" s="56"/>
      <c r="R34" s="56"/>
      <c r="S34" s="56"/>
    </row>
    <row r="35" spans="1:19" ht="13.8">
      <c r="A35" s="56"/>
      <c r="B35" s="56"/>
      <c r="C35" s="56"/>
      <c r="D35" s="56"/>
      <c r="E35" s="56"/>
      <c r="F35" s="56"/>
      <c r="G35" s="56"/>
      <c r="H35" s="56"/>
      <c r="I35" s="56"/>
      <c r="J35" s="56"/>
      <c r="K35" s="56"/>
      <c r="L35" s="56"/>
      <c r="M35" s="56"/>
      <c r="N35" s="56"/>
      <c r="O35" s="56"/>
      <c r="P35" s="56"/>
      <c r="Q35" s="56"/>
      <c r="R35" s="56"/>
      <c r="S35" s="56"/>
    </row>
    <row r="36" spans="1:19" ht="53.55" customHeight="1">
      <c r="A36" s="56"/>
      <c r="B36" s="718" t="s">
        <v>207</v>
      </c>
      <c r="C36" s="718"/>
      <c r="D36" s="718"/>
      <c r="E36" s="718"/>
      <c r="F36" s="718"/>
      <c r="G36" s="56"/>
      <c r="H36" s="56"/>
      <c r="I36" s="56"/>
      <c r="J36" s="56"/>
      <c r="K36" s="56"/>
      <c r="L36" s="56"/>
      <c r="M36" s="56"/>
      <c r="N36" s="56"/>
      <c r="O36" s="56"/>
      <c r="P36" s="56"/>
      <c r="Q36" s="56"/>
      <c r="R36" s="56"/>
      <c r="S36" s="56"/>
    </row>
    <row r="37" spans="1:19" ht="13.8">
      <c r="A37" s="56"/>
      <c r="B37" s="56"/>
      <c r="C37" s="56"/>
      <c r="D37" s="56"/>
      <c r="E37" s="56"/>
      <c r="F37" s="56"/>
      <c r="G37" s="56"/>
      <c r="H37" s="56"/>
      <c r="I37" s="56"/>
      <c r="J37" s="56"/>
      <c r="K37" s="56"/>
      <c r="L37" s="56"/>
      <c r="M37" s="56"/>
      <c r="N37" s="56"/>
      <c r="O37" s="56"/>
      <c r="P37" s="56"/>
      <c r="Q37" s="56"/>
      <c r="R37" s="56"/>
      <c r="S37" s="56"/>
    </row>
    <row r="38" spans="1:19" ht="13.8">
      <c r="A38" s="56"/>
      <c r="B38" s="55" t="s">
        <v>200</v>
      </c>
      <c r="C38" s="56"/>
      <c r="D38" s="56"/>
      <c r="E38" s="56"/>
      <c r="F38" s="56"/>
      <c r="G38" s="56"/>
      <c r="H38" s="56"/>
      <c r="I38" s="56"/>
      <c r="J38" s="56"/>
      <c r="K38" s="56"/>
      <c r="L38" s="56"/>
      <c r="M38" s="56"/>
      <c r="N38" s="56"/>
      <c r="O38" s="56"/>
      <c r="P38" s="56"/>
      <c r="Q38" s="56"/>
      <c r="R38" s="56"/>
      <c r="S38" s="56"/>
    </row>
    <row r="39" spans="1:19" ht="13.8">
      <c r="A39" s="56"/>
      <c r="B39" s="56" t="s">
        <v>201</v>
      </c>
      <c r="C39" s="56"/>
      <c r="D39" s="56"/>
      <c r="E39" s="56"/>
      <c r="F39" s="56"/>
      <c r="G39" s="56"/>
      <c r="H39" s="56"/>
      <c r="I39" s="56"/>
      <c r="J39" s="56"/>
      <c r="K39" s="56"/>
      <c r="L39" s="56"/>
      <c r="M39" s="56"/>
      <c r="N39" s="56"/>
      <c r="O39" s="56"/>
      <c r="P39" s="56"/>
      <c r="Q39" s="56"/>
      <c r="R39" s="56"/>
      <c r="S39" s="56"/>
    </row>
    <row r="40" spans="1:19" ht="13.8">
      <c r="A40" s="56"/>
      <c r="B40" s="212" t="s">
        <v>202</v>
      </c>
      <c r="C40" s="56"/>
      <c r="D40" s="56"/>
      <c r="E40" s="56"/>
      <c r="F40" s="56"/>
      <c r="G40" s="56"/>
      <c r="H40" s="56"/>
      <c r="I40" s="56"/>
      <c r="J40" s="56"/>
      <c r="K40" s="56"/>
      <c r="L40" s="56"/>
      <c r="M40" s="56"/>
      <c r="N40" s="56"/>
      <c r="O40" s="56"/>
      <c r="P40" s="56"/>
      <c r="Q40" s="56"/>
      <c r="R40" s="56"/>
      <c r="S40" s="56"/>
    </row>
    <row r="41" spans="1:19" ht="13.8">
      <c r="A41" s="56"/>
      <c r="B41" s="56"/>
      <c r="C41" s="56"/>
      <c r="D41" s="56"/>
      <c r="E41" s="56"/>
      <c r="F41" s="56"/>
      <c r="G41" s="56"/>
      <c r="H41" s="56"/>
      <c r="I41" s="56"/>
      <c r="J41" s="56"/>
      <c r="K41" s="56"/>
      <c r="L41" s="56"/>
      <c r="M41" s="56"/>
      <c r="N41" s="56"/>
      <c r="O41" s="56"/>
      <c r="P41" s="56"/>
      <c r="Q41" s="56"/>
      <c r="R41" s="56"/>
      <c r="S41" s="56"/>
    </row>
    <row r="42" spans="1:19" ht="13.8">
      <c r="A42" s="56"/>
      <c r="B42" s="56" t="s">
        <v>203</v>
      </c>
      <c r="C42" s="56"/>
      <c r="D42" s="56"/>
      <c r="E42" s="56"/>
      <c r="F42" s="56"/>
      <c r="G42" s="56"/>
      <c r="H42" s="56"/>
      <c r="I42" s="56"/>
      <c r="J42" s="56"/>
      <c r="K42" s="56"/>
      <c r="L42" s="56"/>
      <c r="M42" s="56"/>
      <c r="N42" s="56"/>
      <c r="O42" s="56"/>
      <c r="P42" s="56"/>
      <c r="Q42" s="56"/>
      <c r="R42" s="56"/>
      <c r="S42" s="56"/>
    </row>
    <row r="43" spans="1:19" ht="13.8">
      <c r="A43" s="56"/>
      <c r="B43" s="212" t="s">
        <v>204</v>
      </c>
      <c r="C43" s="56"/>
      <c r="D43" s="56"/>
      <c r="E43" s="56"/>
      <c r="F43" s="56"/>
      <c r="G43" s="56"/>
      <c r="H43" s="56"/>
      <c r="I43" s="56"/>
      <c r="J43" s="56"/>
      <c r="K43" s="56"/>
      <c r="L43" s="56"/>
      <c r="M43" s="56"/>
      <c r="N43" s="56"/>
      <c r="O43" s="56"/>
      <c r="P43" s="56"/>
      <c r="Q43" s="56"/>
      <c r="R43" s="56"/>
      <c r="S43" s="56"/>
    </row>
    <row r="44" spans="1:19" ht="13.8">
      <c r="A44" s="56"/>
      <c r="B44" s="56"/>
      <c r="C44" s="56"/>
      <c r="D44" s="56"/>
      <c r="E44" s="56"/>
      <c r="F44" s="56"/>
      <c r="G44" s="56"/>
      <c r="H44" s="56"/>
      <c r="I44" s="56"/>
      <c r="J44" s="56"/>
      <c r="K44" s="56"/>
      <c r="L44" s="56"/>
      <c r="M44" s="56"/>
      <c r="N44" s="56"/>
      <c r="O44" s="56"/>
      <c r="P44" s="56"/>
      <c r="Q44" s="56"/>
      <c r="R44" s="56"/>
      <c r="S44" s="56"/>
    </row>
    <row r="45" spans="1:19" ht="13.8">
      <c r="A45" s="56"/>
      <c r="B45" s="56"/>
      <c r="C45" s="56"/>
      <c r="D45" s="56"/>
      <c r="E45" s="56"/>
      <c r="F45" s="56"/>
      <c r="G45" s="56"/>
      <c r="H45" s="56"/>
      <c r="I45" s="56"/>
      <c r="J45" s="56"/>
      <c r="K45" s="56"/>
      <c r="L45" s="56"/>
      <c r="M45" s="56"/>
      <c r="N45" s="56"/>
      <c r="O45" s="56"/>
      <c r="P45" s="56"/>
      <c r="Q45" s="56"/>
      <c r="R45" s="56"/>
      <c r="S45" s="56"/>
    </row>
    <row r="46" spans="1:19" ht="13.8">
      <c r="A46" s="56"/>
      <c r="B46" s="56"/>
      <c r="C46" s="56"/>
      <c r="D46" s="56"/>
      <c r="E46" s="56"/>
      <c r="F46" s="56"/>
      <c r="G46" s="56"/>
      <c r="H46" s="56"/>
      <c r="I46" s="56"/>
      <c r="J46" s="56"/>
      <c r="K46" s="56"/>
      <c r="L46" s="56"/>
      <c r="M46" s="56"/>
      <c r="N46" s="56"/>
      <c r="O46" s="56"/>
      <c r="P46" s="56"/>
      <c r="Q46" s="56"/>
      <c r="R46" s="56"/>
      <c r="S46" s="56"/>
    </row>
    <row r="47" spans="1:19" ht="13.8">
      <c r="A47" s="56"/>
      <c r="B47" s="56"/>
      <c r="C47" s="56"/>
      <c r="D47" s="56"/>
      <c r="E47" s="56"/>
      <c r="F47" s="56"/>
      <c r="G47" s="56"/>
      <c r="H47" s="56"/>
      <c r="I47" s="56"/>
      <c r="J47" s="56"/>
      <c r="K47" s="56"/>
      <c r="L47" s="56"/>
      <c r="M47" s="56"/>
      <c r="N47" s="56"/>
      <c r="O47" s="56"/>
      <c r="P47" s="56"/>
      <c r="Q47" s="56"/>
      <c r="R47" s="56"/>
      <c r="S47" s="56"/>
    </row>
    <row r="48" spans="1:19" ht="13.8">
      <c r="A48" s="56"/>
      <c r="B48" s="56"/>
      <c r="C48" s="56"/>
      <c r="D48" s="56"/>
      <c r="E48" s="56"/>
      <c r="F48" s="56"/>
      <c r="G48" s="56"/>
      <c r="H48" s="56"/>
      <c r="I48" s="56"/>
      <c r="J48" s="56"/>
      <c r="K48" s="56"/>
      <c r="L48" s="56"/>
      <c r="M48" s="56"/>
      <c r="N48" s="56"/>
      <c r="O48" s="56"/>
      <c r="P48" s="56"/>
      <c r="Q48" s="56"/>
      <c r="R48" s="56"/>
      <c r="S48" s="56"/>
    </row>
    <row r="49" spans="1:19" ht="13.8">
      <c r="A49" s="56"/>
      <c r="B49" s="56"/>
      <c r="C49" s="56"/>
      <c r="D49" s="56"/>
      <c r="E49" s="56"/>
      <c r="F49" s="56"/>
      <c r="G49" s="56"/>
      <c r="H49" s="56"/>
      <c r="I49" s="56"/>
      <c r="J49" s="56"/>
      <c r="K49" s="56"/>
      <c r="L49" s="56"/>
      <c r="M49" s="56"/>
      <c r="N49" s="56"/>
      <c r="O49" s="56"/>
      <c r="P49" s="56"/>
      <c r="Q49" s="56"/>
      <c r="R49" s="56"/>
      <c r="S49" s="56"/>
    </row>
    <row r="50" spans="1:19" ht="13.8">
      <c r="A50" s="56"/>
      <c r="B50" s="56"/>
      <c r="C50" s="56"/>
      <c r="D50" s="56"/>
      <c r="E50" s="56"/>
      <c r="F50" s="56"/>
      <c r="G50" s="56"/>
      <c r="H50" s="56"/>
      <c r="I50" s="56"/>
      <c r="J50" s="56"/>
      <c r="K50" s="56"/>
      <c r="L50" s="56"/>
      <c r="M50" s="56"/>
      <c r="N50" s="56"/>
      <c r="O50" s="56"/>
      <c r="P50" s="56"/>
      <c r="Q50" s="56"/>
      <c r="R50" s="56"/>
      <c r="S50" s="56"/>
    </row>
    <row r="51" spans="1:19" ht="13.8">
      <c r="A51" s="56"/>
      <c r="B51" s="56"/>
      <c r="C51" s="56"/>
      <c r="D51" s="56"/>
      <c r="E51" s="56"/>
      <c r="F51" s="56"/>
      <c r="G51" s="56"/>
      <c r="H51" s="56"/>
      <c r="I51" s="56"/>
      <c r="J51" s="56"/>
      <c r="K51" s="56"/>
      <c r="L51" s="56"/>
      <c r="M51" s="56"/>
      <c r="N51" s="56"/>
      <c r="O51" s="56"/>
      <c r="P51" s="56"/>
      <c r="Q51" s="56"/>
      <c r="R51" s="56"/>
      <c r="S51" s="56"/>
    </row>
    <row r="52" spans="1:19" ht="13.8">
      <c r="A52" s="56"/>
      <c r="B52" s="56"/>
      <c r="C52" s="56"/>
      <c r="D52" s="56"/>
      <c r="E52" s="56"/>
      <c r="F52" s="56"/>
      <c r="G52" s="56"/>
      <c r="H52" s="56"/>
      <c r="I52" s="56"/>
      <c r="J52" s="56"/>
      <c r="K52" s="56"/>
      <c r="L52" s="56"/>
      <c r="M52" s="56"/>
      <c r="N52" s="56"/>
      <c r="O52" s="56"/>
      <c r="P52" s="56"/>
      <c r="Q52" s="56"/>
      <c r="R52" s="56"/>
      <c r="S52" s="56"/>
    </row>
    <row r="53" spans="1:19" ht="13.8">
      <c r="A53" s="56"/>
      <c r="B53" s="56"/>
      <c r="C53" s="56"/>
      <c r="D53" s="56"/>
      <c r="E53" s="56"/>
      <c r="F53" s="56"/>
      <c r="G53" s="56"/>
      <c r="H53" s="56"/>
      <c r="I53" s="56"/>
      <c r="J53" s="56"/>
      <c r="K53" s="56"/>
      <c r="L53" s="56"/>
      <c r="M53" s="56"/>
      <c r="N53" s="56"/>
      <c r="O53" s="56"/>
      <c r="P53" s="56"/>
      <c r="Q53" s="56"/>
      <c r="R53" s="56"/>
      <c r="S53" s="56"/>
    </row>
  </sheetData>
  <mergeCells count="7">
    <mergeCell ref="B34:G34"/>
    <mergeCell ref="B36:F36"/>
    <mergeCell ref="C4:F4"/>
    <mergeCell ref="G4:J4"/>
    <mergeCell ref="C11:F11"/>
    <mergeCell ref="G11:J11"/>
    <mergeCell ref="B32:G32"/>
  </mergeCells>
  <hyperlinks>
    <hyperlink ref="B40" r:id="rId1" xr:uid="{EC30B72E-CC32-4557-919D-0C07E8BCD283}"/>
    <hyperlink ref="B43" r:id="rId2" xr:uid="{6A78BF1B-AB6D-4F4B-A335-35AFA95C393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2F721-358D-4677-9CE5-1050DB843545}">
  <sheetPr>
    <tabColor theme="9" tint="0.59999389629810485"/>
    <outlinePr summaryBelow="0" summaryRight="0"/>
  </sheetPr>
  <dimension ref="B1:P990"/>
  <sheetViews>
    <sheetView workbookViewId="0">
      <selection activeCell="B21" sqref="B21"/>
    </sheetView>
  </sheetViews>
  <sheetFormatPr defaultColWidth="12.6640625" defaultRowHeight="15" customHeight="1"/>
  <cols>
    <col min="1" max="1" width="12.6640625" style="10"/>
    <col min="2" max="2" width="14.6640625" style="10" customWidth="1"/>
    <col min="3" max="3" width="28.44140625" style="10" customWidth="1"/>
    <col min="4" max="4" width="12.6640625" style="10"/>
    <col min="5" max="5" width="17.33203125" style="10" customWidth="1"/>
    <col min="6" max="15" width="12.6640625" style="10"/>
    <col min="16" max="16" width="61.109375" style="10" customWidth="1"/>
    <col min="17" max="16384" width="12.6640625" style="10"/>
  </cols>
  <sheetData>
    <row r="1" spans="2:16" ht="15.75" customHeight="1">
      <c r="B1" s="703" t="s">
        <v>208</v>
      </c>
      <c r="C1" s="688"/>
      <c r="D1" s="688"/>
      <c r="E1" s="688"/>
      <c r="F1" s="688"/>
    </row>
    <row r="2" spans="2:16" ht="15.75" customHeight="1"/>
    <row r="3" spans="2:16" ht="15.75" customHeight="1">
      <c r="B3" s="691"/>
      <c r="C3" s="121" t="s">
        <v>209</v>
      </c>
      <c r="D3" s="728">
        <v>1999</v>
      </c>
      <c r="E3" s="670"/>
      <c r="F3" s="672"/>
      <c r="G3" s="729">
        <v>39692</v>
      </c>
      <c r="H3" s="670"/>
      <c r="I3" s="672"/>
      <c r="J3" s="728" t="s">
        <v>210</v>
      </c>
      <c r="K3" s="670"/>
      <c r="L3" s="672"/>
      <c r="M3" s="728">
        <v>2020</v>
      </c>
      <c r="N3" s="670"/>
      <c r="O3" s="672"/>
      <c r="P3" s="691" t="s">
        <v>211</v>
      </c>
    </row>
    <row r="4" spans="2:16" ht="15.75" customHeight="1">
      <c r="B4" s="665"/>
      <c r="C4" s="121" t="s">
        <v>8</v>
      </c>
      <c r="D4" s="213" t="s">
        <v>212</v>
      </c>
      <c r="E4" s="213" t="s">
        <v>213</v>
      </c>
      <c r="F4" s="213" t="s">
        <v>214</v>
      </c>
      <c r="G4" s="214" t="s">
        <v>212</v>
      </c>
      <c r="H4" s="214" t="s">
        <v>213</v>
      </c>
      <c r="I4" s="214" t="s">
        <v>214</v>
      </c>
      <c r="J4" s="214" t="s">
        <v>212</v>
      </c>
      <c r="K4" s="214" t="s">
        <v>213</v>
      </c>
      <c r="L4" s="214" t="s">
        <v>214</v>
      </c>
      <c r="M4" s="214" t="s">
        <v>212</v>
      </c>
      <c r="N4" s="214" t="s">
        <v>213</v>
      </c>
      <c r="O4" s="214" t="s">
        <v>214</v>
      </c>
      <c r="P4" s="665"/>
    </row>
    <row r="5" spans="2:16" ht="104.55" customHeight="1">
      <c r="B5" s="79"/>
      <c r="C5" s="215" t="s">
        <v>0</v>
      </c>
      <c r="D5" s="216">
        <v>1</v>
      </c>
      <c r="E5" s="216">
        <v>0</v>
      </c>
      <c r="F5" s="216">
        <v>0</v>
      </c>
      <c r="G5" s="217">
        <v>1</v>
      </c>
      <c r="H5" s="217">
        <v>0</v>
      </c>
      <c r="I5" s="218">
        <v>0</v>
      </c>
      <c r="J5" s="217">
        <v>1</v>
      </c>
      <c r="K5" s="217">
        <v>0</v>
      </c>
      <c r="L5" s="217">
        <v>0</v>
      </c>
      <c r="M5" s="217">
        <v>1</v>
      </c>
      <c r="N5" s="218">
        <v>0</v>
      </c>
      <c r="O5" s="219">
        <v>0</v>
      </c>
      <c r="P5" s="305" t="s">
        <v>215</v>
      </c>
    </row>
    <row r="6" spans="2:16" ht="15.75" customHeight="1"/>
    <row r="7" spans="2:16" ht="15.75" customHeight="1"/>
    <row r="8" spans="2:16" ht="15.75" customHeight="1"/>
    <row r="9" spans="2:16" ht="15.75" customHeight="1"/>
    <row r="10" spans="2:16" ht="151.94999999999999" customHeight="1">
      <c r="B10" s="700" t="s">
        <v>216</v>
      </c>
      <c r="C10" s="726"/>
      <c r="D10" s="726"/>
      <c r="E10" s="726"/>
      <c r="F10" s="726"/>
      <c r="G10" s="726"/>
      <c r="H10" s="726"/>
      <c r="I10" s="726"/>
      <c r="J10" s="726"/>
    </row>
    <row r="11" spans="2:16" ht="154.05000000000001" customHeight="1">
      <c r="B11" s="727" t="s">
        <v>217</v>
      </c>
      <c r="C11" s="688"/>
      <c r="D11" s="688"/>
      <c r="E11" s="688"/>
      <c r="F11" s="688"/>
      <c r="G11" s="688"/>
      <c r="H11" s="688"/>
      <c r="I11" s="688"/>
      <c r="J11" s="688"/>
    </row>
    <row r="12" spans="2:16" ht="15.75" customHeight="1"/>
    <row r="13" spans="2:16" ht="15.75" customHeight="1"/>
    <row r="14" spans="2:16" ht="15.75" customHeight="1"/>
    <row r="15" spans="2:16" ht="15.75" customHeight="1"/>
    <row r="16" spans="2: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9">
    <mergeCell ref="P3:P4"/>
    <mergeCell ref="B10:J10"/>
    <mergeCell ref="B11:J11"/>
    <mergeCell ref="B1:F1"/>
    <mergeCell ref="B3:B4"/>
    <mergeCell ref="D3:F3"/>
    <mergeCell ref="G3:I3"/>
    <mergeCell ref="J3:L3"/>
    <mergeCell ref="M3:O3"/>
  </mergeCells>
  <hyperlinks>
    <hyperlink ref="B11" r:id="rId1" xr:uid="{B0CEA388-52CF-412C-8D52-F181C16FA1F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DBF0E-CD00-4FF7-A552-AD4A8D1B96E4}">
  <sheetPr>
    <tabColor theme="4" tint="0.59999389629810485"/>
    <outlinePr summaryBelow="0" summaryRight="0"/>
  </sheetPr>
  <dimension ref="B1:Z998"/>
  <sheetViews>
    <sheetView topLeftCell="A83" workbookViewId="0">
      <selection activeCell="C103" sqref="C103"/>
    </sheetView>
  </sheetViews>
  <sheetFormatPr defaultColWidth="12.6640625" defaultRowHeight="15" customHeight="1"/>
  <cols>
    <col min="1" max="1" width="12.6640625" style="10" customWidth="1"/>
    <col min="2" max="2" width="74.77734375" style="10" customWidth="1"/>
    <col min="3" max="3" width="29.33203125" style="10" customWidth="1"/>
    <col min="4" max="4" width="27.88671875" style="10" customWidth="1"/>
    <col min="5" max="6" width="12.6640625" style="10" customWidth="1"/>
    <col min="7" max="16384" width="12.6640625" style="10"/>
  </cols>
  <sheetData>
    <row r="1" spans="2:4" ht="15.75" customHeight="1"/>
    <row r="2" spans="2:4" ht="15.75" customHeight="1">
      <c r="B2" s="733" t="s">
        <v>288</v>
      </c>
      <c r="C2" s="688"/>
    </row>
    <row r="3" spans="2:4" ht="15.75" customHeight="1">
      <c r="B3" s="348"/>
      <c r="C3" s="306"/>
    </row>
    <row r="4" spans="2:4" ht="15.75" customHeight="1">
      <c r="B4" s="307" t="s">
        <v>238</v>
      </c>
      <c r="C4" s="308" t="s">
        <v>239</v>
      </c>
    </row>
    <row r="5" spans="2:4" ht="15.75" customHeight="1">
      <c r="B5" s="309" t="s">
        <v>240</v>
      </c>
      <c r="C5" s="310">
        <v>0.55000000000000004</v>
      </c>
    </row>
    <row r="6" spans="2:4" ht="15.75" customHeight="1">
      <c r="B6" s="309" t="s">
        <v>14</v>
      </c>
      <c r="C6" s="310">
        <v>3</v>
      </c>
    </row>
    <row r="7" spans="2:4" ht="15.75" customHeight="1">
      <c r="B7" s="309" t="s">
        <v>241</v>
      </c>
      <c r="C7" s="310">
        <v>2.5</v>
      </c>
    </row>
    <row r="8" spans="2:4" ht="15.75" customHeight="1">
      <c r="B8" s="309" t="s">
        <v>242</v>
      </c>
      <c r="C8" s="310">
        <v>9</v>
      </c>
    </row>
    <row r="9" spans="2:4" ht="15.75" customHeight="1">
      <c r="B9" s="311" t="s">
        <v>15</v>
      </c>
      <c r="C9" s="312">
        <v>1</v>
      </c>
      <c r="D9" s="56" t="s">
        <v>289</v>
      </c>
    </row>
    <row r="10" spans="2:4" ht="15.75" customHeight="1">
      <c r="B10" s="309" t="s">
        <v>16</v>
      </c>
      <c r="C10" s="310">
        <v>2.2400000000000002</v>
      </c>
    </row>
    <row r="11" spans="2:4" ht="15.75" customHeight="1">
      <c r="B11" s="309" t="s">
        <v>17</v>
      </c>
      <c r="C11" s="310">
        <v>5</v>
      </c>
    </row>
    <row r="12" spans="2:4" ht="15.75" customHeight="1">
      <c r="B12" s="309" t="s">
        <v>18</v>
      </c>
      <c r="C12" s="310">
        <v>5.9</v>
      </c>
    </row>
    <row r="13" spans="2:4" ht="15.75" customHeight="1">
      <c r="B13" s="309" t="s">
        <v>19</v>
      </c>
      <c r="C13" s="310">
        <v>6.12</v>
      </c>
    </row>
    <row r="14" spans="2:4" ht="15.75" customHeight="1">
      <c r="B14" s="309" t="s">
        <v>20</v>
      </c>
      <c r="C14" s="310">
        <v>3.1</v>
      </c>
    </row>
    <row r="15" spans="2:4" ht="15.75" customHeight="1">
      <c r="B15" s="313" t="s">
        <v>243</v>
      </c>
      <c r="C15" s="314">
        <v>2.5</v>
      </c>
    </row>
    <row r="16" spans="2:4" ht="15.75" customHeight="1"/>
    <row r="17" spans="2:22" ht="15.75" customHeight="1">
      <c r="B17" s="315" t="s">
        <v>244</v>
      </c>
      <c r="C17" s="316" t="s">
        <v>245</v>
      </c>
      <c r="D17" s="316">
        <v>2005</v>
      </c>
      <c r="E17" s="316">
        <v>2006</v>
      </c>
      <c r="F17" s="316">
        <v>2007</v>
      </c>
      <c r="G17" s="316">
        <v>2008</v>
      </c>
      <c r="H17" s="316">
        <v>2009</v>
      </c>
      <c r="I17" s="316">
        <v>2010</v>
      </c>
      <c r="J17" s="316">
        <v>2011</v>
      </c>
      <c r="K17" s="316">
        <v>2012</v>
      </c>
      <c r="L17" s="316">
        <v>2013</v>
      </c>
      <c r="M17" s="316">
        <v>2014</v>
      </c>
      <c r="N17" s="316">
        <v>2015</v>
      </c>
      <c r="O17" s="316">
        <v>2016</v>
      </c>
      <c r="P17" s="316">
        <v>2017</v>
      </c>
      <c r="Q17" s="316">
        <v>2018</v>
      </c>
      <c r="R17" s="317">
        <v>2019</v>
      </c>
      <c r="S17" s="317">
        <v>2020</v>
      </c>
      <c r="T17" s="317">
        <v>2021</v>
      </c>
      <c r="U17" s="317">
        <v>2022</v>
      </c>
      <c r="V17" s="317">
        <v>2023</v>
      </c>
    </row>
    <row r="18" spans="2:22" ht="15.75" customHeight="1">
      <c r="B18" s="319" t="s">
        <v>290</v>
      </c>
      <c r="C18" s="320"/>
      <c r="D18" s="350"/>
      <c r="E18" s="350"/>
      <c r="F18" s="350"/>
      <c r="G18" s="350"/>
      <c r="H18" s="350"/>
      <c r="I18" s="350"/>
      <c r="J18" s="350"/>
      <c r="K18" s="350"/>
      <c r="L18" s="350"/>
      <c r="M18" s="350"/>
      <c r="N18" s="350"/>
      <c r="O18" s="326"/>
      <c r="P18" s="326"/>
      <c r="Q18" s="326"/>
      <c r="R18" s="79"/>
      <c r="S18" s="79"/>
      <c r="T18" s="79"/>
    </row>
    <row r="19" spans="2:22" ht="15.75" customHeight="1">
      <c r="B19" s="79" t="s">
        <v>0</v>
      </c>
      <c r="C19" s="79"/>
      <c r="D19" s="79">
        <f>(('Statewise_ production_ petroleu'!D7*0.25)+('Statewise_ production_ petroleu'!E7*0.75))*1000</f>
        <v>7041250</v>
      </c>
      <c r="E19" s="79">
        <f>(('Statewise_ production_ petroleu'!E7*0.25)+('Statewise_ production_ petroleu'!F7*0.75))*1000</f>
        <v>7445250</v>
      </c>
      <c r="F19" s="79">
        <f>(('Statewise_ production_ petroleu'!F7*0.25)+('Statewise_ production_ petroleu'!G7*0.75))*1000</f>
        <v>7865750</v>
      </c>
      <c r="G19" s="79">
        <f>(('Statewise_ production_ petroleu'!G7*0.25)+('Statewise_ production_ petroleu'!H7*0.75))*1000</f>
        <v>6879000</v>
      </c>
      <c r="H19" s="79">
        <f>(('Statewise_ production_ petroleu'!H7*0.25)+('Statewise_ production_ petroleu'!I7*0.75))*1000</f>
        <v>7173750</v>
      </c>
      <c r="I19" s="79">
        <f>(('Statewise_ production_ petroleu'!I7*0.25)+('Statewise_ production_ petroleu'!J7*0.75))*1000</f>
        <v>7917750</v>
      </c>
      <c r="J19" s="79">
        <f>(('Statewise_ production_ petroleu'!J7*0.25)+('Statewise_ production_ petroleu'!K7*0.75))*1000</f>
        <v>8497500</v>
      </c>
      <c r="K19" s="79">
        <f>(('Statewise_ production_ petroleu'!K7*0.25)+('Statewise_ production_ petroleu'!L7*0.75))*1000</f>
        <v>9067750</v>
      </c>
      <c r="L19" s="79">
        <f>(('Statewise_ production_ petroleu'!L7*0.25)+('Statewise_ production_ petroleu'!M7*0.75))*1000</f>
        <v>9435750</v>
      </c>
      <c r="M19" s="79">
        <f>(('Statewise_ production_ petroleu'!M7*0.25)+('Statewise_ production_ petroleu'!N7*0.75))*1000</f>
        <v>9729750</v>
      </c>
      <c r="N19" s="79">
        <f>(('Statewise_ production_ petroleu'!N7*0.25)+('Statewise_ production_ petroleu'!O7*0.75))*1000</f>
        <v>10073000</v>
      </c>
      <c r="O19" s="79">
        <f>(('Statewise_ production_ petroleu'!O7*0.25)+('Statewise_ production_ petroleu'!P7*0.75))*1000</f>
        <v>10936250</v>
      </c>
      <c r="P19" s="79">
        <f>(('Statewise_ production_ petroleu'!P7*0.25)+('Statewise_ production_ petroleu'!Q7*0.75))*1000</f>
        <v>12665500</v>
      </c>
      <c r="Q19" s="79">
        <f>(('Statewise_ production_ petroleu'!Q7*0.25)+('Statewise_ production_ petroleu'!R7*0.75))*1000</f>
        <v>14458000</v>
      </c>
      <c r="R19" s="79">
        <f>(('Statewise_ production_ petroleu'!R7*0.25)+('Statewise_ production_ petroleu'!S7*0.75))*1000</f>
        <v>15449250</v>
      </c>
      <c r="S19" s="79">
        <f>(('Statewise_ production_ petroleu'!S7*0.25)+('Statewise_ production_ petroleu'!T7*0.75))*1000</f>
        <v>13340750</v>
      </c>
      <c r="T19" s="79">
        <f>(('Statewise_ production_ petroleu'!T7*0.25)+('Statewise_ production_ petroleu'!U7*0.75))*1000</f>
        <v>13917000</v>
      </c>
      <c r="U19" s="79">
        <f>(('Statewise_ production_ petroleu'!U7*0.25)+('Statewise_ production_ petroleu'!V7*0.75))*1000</f>
        <v>14755872.822492573</v>
      </c>
      <c r="V19" s="79">
        <f>(('Statewise_ production_ petroleu'!V7*0.25)+('Statewise_ production_ petroleu'!W7*0.75))*1000</f>
        <v>15292624.473034818</v>
      </c>
    </row>
    <row r="20" spans="2:22" ht="15.75" customHeight="1">
      <c r="R20" s="323"/>
      <c r="S20" s="323"/>
      <c r="T20" s="323"/>
    </row>
    <row r="21" spans="2:22" ht="15.75" customHeight="1">
      <c r="B21" s="79"/>
      <c r="C21" s="79"/>
      <c r="D21" s="316">
        <v>2005</v>
      </c>
      <c r="E21" s="316">
        <v>2006</v>
      </c>
      <c r="F21" s="316">
        <v>2007</v>
      </c>
      <c r="G21" s="316">
        <v>2008</v>
      </c>
      <c r="H21" s="316">
        <v>2009</v>
      </c>
      <c r="I21" s="316">
        <v>2010</v>
      </c>
      <c r="J21" s="316">
        <v>2011</v>
      </c>
      <c r="K21" s="316">
        <v>2012</v>
      </c>
      <c r="L21" s="316">
        <v>2013</v>
      </c>
      <c r="M21" s="316">
        <v>2014</v>
      </c>
      <c r="N21" s="316">
        <v>2015</v>
      </c>
      <c r="O21" s="316">
        <v>2016</v>
      </c>
      <c r="P21" s="316">
        <v>2017</v>
      </c>
      <c r="Q21" s="316">
        <v>2018</v>
      </c>
      <c r="R21" s="317">
        <v>2019</v>
      </c>
      <c r="S21" s="317">
        <v>2020</v>
      </c>
      <c r="T21" s="317">
        <v>2021</v>
      </c>
      <c r="U21" s="317">
        <v>2022</v>
      </c>
      <c r="V21" s="317">
        <v>2023</v>
      </c>
    </row>
    <row r="22" spans="2:22" ht="15.75" customHeight="1">
      <c r="B22" s="152" t="s">
        <v>291</v>
      </c>
      <c r="C22" s="152" t="s">
        <v>292</v>
      </c>
      <c r="D22" s="79">
        <f t="shared" ref="D22:V22" si="0">D19/365</f>
        <v>19291.095890410958</v>
      </c>
      <c r="E22" s="79">
        <f t="shared" si="0"/>
        <v>20397.945205479453</v>
      </c>
      <c r="F22" s="79">
        <f t="shared" si="0"/>
        <v>21550</v>
      </c>
      <c r="G22" s="79">
        <f t="shared" si="0"/>
        <v>18846.575342465752</v>
      </c>
      <c r="H22" s="79">
        <f t="shared" si="0"/>
        <v>19654.109589041094</v>
      </c>
      <c r="I22" s="79">
        <f t="shared" si="0"/>
        <v>21692.465753424658</v>
      </c>
      <c r="J22" s="79">
        <f t="shared" si="0"/>
        <v>23280.821917808218</v>
      </c>
      <c r="K22" s="79">
        <f t="shared" si="0"/>
        <v>24843.150684931508</v>
      </c>
      <c r="L22" s="79">
        <f t="shared" si="0"/>
        <v>25851.369863013697</v>
      </c>
      <c r="M22" s="79">
        <f t="shared" si="0"/>
        <v>26656.849315068492</v>
      </c>
      <c r="N22" s="79">
        <f t="shared" si="0"/>
        <v>27597.260273972603</v>
      </c>
      <c r="O22" s="79">
        <f t="shared" si="0"/>
        <v>29962.328767123287</v>
      </c>
      <c r="P22" s="79">
        <f t="shared" si="0"/>
        <v>34700</v>
      </c>
      <c r="Q22" s="79">
        <f t="shared" si="0"/>
        <v>39610.95890410959</v>
      </c>
      <c r="R22" s="79">
        <f t="shared" si="0"/>
        <v>42326.71232876712</v>
      </c>
      <c r="S22" s="79">
        <f t="shared" si="0"/>
        <v>36550</v>
      </c>
      <c r="T22" s="79">
        <f t="shared" si="0"/>
        <v>38128.767123287675</v>
      </c>
      <c r="U22" s="79">
        <f t="shared" si="0"/>
        <v>40427.048828746774</v>
      </c>
      <c r="V22" s="79">
        <f t="shared" si="0"/>
        <v>41897.601295985805</v>
      </c>
    </row>
    <row r="23" spans="2:22" ht="15.75" customHeight="1"/>
    <row r="24" spans="2:22" ht="15.75" customHeight="1"/>
    <row r="25" spans="2:22" ht="15.75" customHeight="1">
      <c r="B25" s="79" t="s">
        <v>293</v>
      </c>
      <c r="C25" s="79">
        <v>26.271999999999998</v>
      </c>
      <c r="D25" s="79"/>
      <c r="E25" s="79" t="s">
        <v>248</v>
      </c>
      <c r="F25" s="79">
        <f>C25*10^6</f>
        <v>26272000</v>
      </c>
      <c r="G25" s="79" t="s">
        <v>249</v>
      </c>
    </row>
    <row r="26" spans="2:22" ht="15.75" customHeight="1"/>
    <row r="27" spans="2:22" ht="15.75" customHeight="1">
      <c r="B27" s="79" t="s">
        <v>294</v>
      </c>
      <c r="C27" s="75">
        <f>(F25/S22)/1000</f>
        <v>0.71879616963064286</v>
      </c>
    </row>
    <row r="28" spans="2:22" ht="15.75" customHeight="1"/>
    <row r="29" spans="2:22" ht="15.75" customHeight="1"/>
    <row r="30" spans="2:22" ht="15.75" customHeight="1">
      <c r="B30" s="315" t="s">
        <v>251</v>
      </c>
      <c r="C30" s="316" t="s">
        <v>252</v>
      </c>
      <c r="D30" s="316">
        <v>2005</v>
      </c>
      <c r="E30" s="316">
        <v>2006</v>
      </c>
      <c r="F30" s="316">
        <v>2007</v>
      </c>
      <c r="G30" s="316">
        <v>2008</v>
      </c>
      <c r="H30" s="316">
        <v>2009</v>
      </c>
      <c r="I30" s="316">
        <v>2010</v>
      </c>
      <c r="J30" s="316">
        <v>2011</v>
      </c>
      <c r="K30" s="316">
        <v>2012</v>
      </c>
      <c r="L30" s="316">
        <v>2013</v>
      </c>
      <c r="M30" s="316">
        <v>2014</v>
      </c>
      <c r="N30" s="316">
        <v>2015</v>
      </c>
      <c r="O30" s="316">
        <v>2016</v>
      </c>
      <c r="P30" s="316">
        <v>2017</v>
      </c>
      <c r="Q30" s="316">
        <v>2018</v>
      </c>
      <c r="R30" s="317">
        <v>2019</v>
      </c>
      <c r="S30" s="317">
        <v>2020</v>
      </c>
      <c r="T30" s="317">
        <v>2021</v>
      </c>
      <c r="U30" s="317">
        <v>2022</v>
      </c>
      <c r="V30" s="317">
        <v>2023</v>
      </c>
    </row>
    <row r="31" spans="2:22" ht="15.75" customHeight="1">
      <c r="B31" s="319" t="s">
        <v>15</v>
      </c>
      <c r="C31" s="320" t="s">
        <v>253</v>
      </c>
      <c r="D31" s="325">
        <f t="shared" ref="D31:V31" si="1">$C$27</f>
        <v>0.71879616963064286</v>
      </c>
      <c r="E31" s="325">
        <f t="shared" si="1"/>
        <v>0.71879616963064286</v>
      </c>
      <c r="F31" s="325">
        <f t="shared" si="1"/>
        <v>0.71879616963064286</v>
      </c>
      <c r="G31" s="325">
        <f t="shared" si="1"/>
        <v>0.71879616963064286</v>
      </c>
      <c r="H31" s="325">
        <f t="shared" si="1"/>
        <v>0.71879616963064286</v>
      </c>
      <c r="I31" s="325">
        <f t="shared" si="1"/>
        <v>0.71879616963064286</v>
      </c>
      <c r="J31" s="325">
        <f t="shared" si="1"/>
        <v>0.71879616963064286</v>
      </c>
      <c r="K31" s="325">
        <f t="shared" si="1"/>
        <v>0.71879616963064286</v>
      </c>
      <c r="L31" s="325">
        <f t="shared" si="1"/>
        <v>0.71879616963064286</v>
      </c>
      <c r="M31" s="325">
        <f t="shared" si="1"/>
        <v>0.71879616963064286</v>
      </c>
      <c r="N31" s="325">
        <f t="shared" si="1"/>
        <v>0.71879616963064286</v>
      </c>
      <c r="O31" s="325">
        <f t="shared" si="1"/>
        <v>0.71879616963064286</v>
      </c>
      <c r="P31" s="325">
        <f t="shared" si="1"/>
        <v>0.71879616963064286</v>
      </c>
      <c r="Q31" s="325">
        <f t="shared" si="1"/>
        <v>0.71879616963064286</v>
      </c>
      <c r="R31" s="325">
        <f t="shared" si="1"/>
        <v>0.71879616963064286</v>
      </c>
      <c r="S31" s="325">
        <f t="shared" si="1"/>
        <v>0.71879616963064286</v>
      </c>
      <c r="T31" s="325">
        <f t="shared" si="1"/>
        <v>0.71879616963064286</v>
      </c>
      <c r="U31" s="325">
        <f t="shared" si="1"/>
        <v>0.71879616963064286</v>
      </c>
      <c r="V31" s="325">
        <f t="shared" si="1"/>
        <v>0.71879616963064286</v>
      </c>
    </row>
    <row r="32" spans="2:22" ht="15.75" customHeight="1"/>
    <row r="33" spans="2:22" ht="15.75" customHeight="1">
      <c r="B33" s="315" t="s">
        <v>254</v>
      </c>
      <c r="C33" s="316" t="s">
        <v>255</v>
      </c>
      <c r="D33" s="316">
        <v>2005</v>
      </c>
      <c r="E33" s="316">
        <v>2006</v>
      </c>
      <c r="F33" s="316">
        <v>2007</v>
      </c>
      <c r="G33" s="316">
        <v>2008</v>
      </c>
      <c r="H33" s="316">
        <v>2009</v>
      </c>
      <c r="I33" s="316">
        <v>2010</v>
      </c>
      <c r="J33" s="316">
        <v>2011</v>
      </c>
      <c r="K33" s="316">
        <v>2012</v>
      </c>
      <c r="L33" s="316">
        <v>2013</v>
      </c>
      <c r="M33" s="316">
        <v>2014</v>
      </c>
      <c r="N33" s="316">
        <v>2015</v>
      </c>
      <c r="O33" s="316">
        <v>2016</v>
      </c>
      <c r="P33" s="316">
        <v>2017</v>
      </c>
      <c r="Q33" s="316">
        <v>2018</v>
      </c>
      <c r="R33" s="324">
        <v>2019</v>
      </c>
      <c r="S33" s="324">
        <v>2020</v>
      </c>
      <c r="T33" s="324">
        <v>2021</v>
      </c>
      <c r="U33" s="317">
        <v>2022</v>
      </c>
      <c r="V33" s="317">
        <v>2023</v>
      </c>
    </row>
    <row r="34" spans="2:22" ht="15.75" customHeight="1">
      <c r="B34" s="319" t="s">
        <v>15</v>
      </c>
      <c r="C34" s="320"/>
      <c r="D34" s="351"/>
      <c r="E34" s="351"/>
      <c r="F34" s="351"/>
      <c r="G34" s="351"/>
      <c r="H34" s="351"/>
      <c r="I34" s="351"/>
      <c r="J34" s="351"/>
      <c r="K34" s="351"/>
      <c r="L34" s="350"/>
      <c r="M34" s="350"/>
      <c r="N34" s="351"/>
      <c r="O34" s="326"/>
      <c r="P34" s="326"/>
      <c r="Q34" s="326"/>
    </row>
    <row r="35" spans="2:22" ht="15.75" customHeight="1">
      <c r="B35" s="352" t="s">
        <v>0</v>
      </c>
      <c r="C35" s="320"/>
      <c r="D35" s="326">
        <f t="shared" ref="D35:V35" si="2">D19*D31*$C$9</f>
        <v>5061223.5294117639</v>
      </c>
      <c r="E35" s="326">
        <f t="shared" si="2"/>
        <v>5351617.1819425439</v>
      </c>
      <c r="F35" s="326">
        <f t="shared" si="2"/>
        <v>5653870.9712722292</v>
      </c>
      <c r="G35" s="326">
        <f t="shared" si="2"/>
        <v>4944598.850889192</v>
      </c>
      <c r="H35" s="326">
        <f t="shared" si="2"/>
        <v>5156464.0218878239</v>
      </c>
      <c r="I35" s="326">
        <f t="shared" si="2"/>
        <v>5691248.3720930228</v>
      </c>
      <c r="J35" s="326">
        <f t="shared" si="2"/>
        <v>6107970.4514363874</v>
      </c>
      <c r="K35" s="326">
        <f t="shared" si="2"/>
        <v>6517863.9671682613</v>
      </c>
      <c r="L35" s="326">
        <f t="shared" si="2"/>
        <v>6782380.9575923383</v>
      </c>
      <c r="M35" s="326">
        <f t="shared" si="2"/>
        <v>6993707.0314637469</v>
      </c>
      <c r="N35" s="326">
        <f t="shared" si="2"/>
        <v>7240433.8166894652</v>
      </c>
      <c r="O35" s="326">
        <f t="shared" si="2"/>
        <v>7860934.6101231184</v>
      </c>
      <c r="P35" s="326">
        <f t="shared" si="2"/>
        <v>9103912.8864569068</v>
      </c>
      <c r="Q35" s="326">
        <f t="shared" si="2"/>
        <v>10392355.020519834</v>
      </c>
      <c r="R35" s="326">
        <f t="shared" si="2"/>
        <v>11104861.72366621</v>
      </c>
      <c r="S35" s="326">
        <f t="shared" si="2"/>
        <v>9589279.9999999981</v>
      </c>
      <c r="T35" s="326">
        <f t="shared" si="2"/>
        <v>10003486.292749656</v>
      </c>
      <c r="U35" s="326">
        <f t="shared" si="2"/>
        <v>10606464.864364564</v>
      </c>
      <c r="V35" s="326">
        <f t="shared" si="2"/>
        <v>10992279.894817255</v>
      </c>
    </row>
    <row r="36" spans="2:22" ht="15.75" customHeight="1"/>
    <row r="37" spans="2:22" ht="15.75" customHeight="1">
      <c r="B37" s="307" t="s">
        <v>256</v>
      </c>
      <c r="C37" s="308" t="s">
        <v>257</v>
      </c>
    </row>
    <row r="38" spans="2:22" ht="15.75" customHeight="1">
      <c r="B38" s="328" t="s">
        <v>258</v>
      </c>
      <c r="C38" s="329">
        <v>0.1</v>
      </c>
    </row>
    <row r="39" spans="2:22" ht="15.75" customHeight="1">
      <c r="B39" s="328" t="s">
        <v>259</v>
      </c>
      <c r="C39" s="329">
        <v>0</v>
      </c>
    </row>
    <row r="40" spans="2:22" ht="15.75" customHeight="1">
      <c r="B40" s="328" t="s">
        <v>260</v>
      </c>
      <c r="C40" s="329">
        <v>0.3</v>
      </c>
      <c r="D40" s="56" t="s">
        <v>296</v>
      </c>
    </row>
    <row r="41" spans="2:22" ht="15.75" customHeight="1">
      <c r="B41" s="328" t="s">
        <v>261</v>
      </c>
      <c r="C41" s="329">
        <v>0.8</v>
      </c>
    </row>
    <row r="42" spans="2:22" ht="15.75" customHeight="1">
      <c r="B42" s="328" t="s">
        <v>262</v>
      </c>
      <c r="C42" s="329">
        <v>0.8</v>
      </c>
    </row>
    <row r="43" spans="2:22" ht="15.75" customHeight="1">
      <c r="B43" s="328" t="s">
        <v>263</v>
      </c>
      <c r="C43" s="329">
        <v>0.2</v>
      </c>
    </row>
    <row r="44" spans="2:22" ht="15.75" customHeight="1">
      <c r="B44" s="330" t="s">
        <v>264</v>
      </c>
      <c r="C44" s="331">
        <v>0.8</v>
      </c>
    </row>
    <row r="45" spans="2:22" ht="15.75" customHeight="1">
      <c r="B45" s="353"/>
      <c r="C45" s="341"/>
    </row>
    <row r="46" spans="2:22" ht="15.75" customHeight="1">
      <c r="B46" s="353"/>
      <c r="C46" s="341"/>
    </row>
    <row r="47" spans="2:22" ht="15.75" customHeight="1">
      <c r="B47" s="730" t="s">
        <v>265</v>
      </c>
      <c r="C47" s="667"/>
    </row>
    <row r="48" spans="2:22" ht="15.75" customHeight="1">
      <c r="B48" s="309" t="s">
        <v>240</v>
      </c>
      <c r="C48" s="310">
        <v>0</v>
      </c>
    </row>
    <row r="49" spans="2:4" ht="15.75" customHeight="1">
      <c r="B49" s="309" t="s">
        <v>14</v>
      </c>
      <c r="C49" s="310">
        <v>0.3</v>
      </c>
    </row>
    <row r="50" spans="2:4" ht="15.75" customHeight="1">
      <c r="B50" s="309" t="s">
        <v>241</v>
      </c>
      <c r="C50" s="310">
        <v>0.8</v>
      </c>
    </row>
    <row r="51" spans="2:4" ht="15.75" customHeight="1">
      <c r="B51" s="309" t="s">
        <v>242</v>
      </c>
      <c r="C51" s="310">
        <v>0.8</v>
      </c>
    </row>
    <row r="52" spans="2:4" ht="15.75" customHeight="1">
      <c r="B52" s="311" t="s">
        <v>15</v>
      </c>
      <c r="C52" s="312">
        <v>0.3</v>
      </c>
      <c r="D52" s="56" t="s">
        <v>297</v>
      </c>
    </row>
    <row r="53" spans="2:4" ht="15.75" customHeight="1">
      <c r="B53" s="309" t="s">
        <v>16</v>
      </c>
      <c r="C53" s="310">
        <v>0.5</v>
      </c>
    </row>
    <row r="54" spans="2:4" ht="15.75" customHeight="1">
      <c r="B54" s="309" t="s">
        <v>17</v>
      </c>
      <c r="C54" s="310">
        <v>0.8</v>
      </c>
    </row>
    <row r="55" spans="2:4" ht="15.75" customHeight="1">
      <c r="B55" s="309" t="s">
        <v>18</v>
      </c>
      <c r="C55" s="310">
        <v>0.8</v>
      </c>
    </row>
    <row r="56" spans="2:4" ht="15.75" customHeight="1">
      <c r="B56" s="309" t="s">
        <v>19</v>
      </c>
      <c r="C56" s="310">
        <v>0</v>
      </c>
    </row>
    <row r="57" spans="2:4" ht="15.75" customHeight="1">
      <c r="B57" s="309" t="s">
        <v>20</v>
      </c>
      <c r="C57" s="310">
        <v>0.8</v>
      </c>
    </row>
    <row r="58" spans="2:4" ht="15.75" customHeight="1">
      <c r="B58" s="313" t="s">
        <v>21</v>
      </c>
      <c r="C58" s="314">
        <v>0.3</v>
      </c>
    </row>
    <row r="59" spans="2:4" ht="15.75" customHeight="1">
      <c r="B59" s="348"/>
      <c r="C59" s="348"/>
    </row>
    <row r="60" spans="2:4" ht="15.75" customHeight="1">
      <c r="B60" s="348"/>
      <c r="C60" s="348"/>
    </row>
    <row r="61" spans="2:4" ht="15.75" customHeight="1">
      <c r="B61" s="307" t="s">
        <v>266</v>
      </c>
      <c r="C61" s="308" t="s">
        <v>267</v>
      </c>
    </row>
    <row r="62" spans="2:4" ht="15.75" customHeight="1">
      <c r="B62" s="313"/>
      <c r="C62" s="332">
        <v>0.25</v>
      </c>
      <c r="D62" s="56" t="s">
        <v>298</v>
      </c>
    </row>
    <row r="63" spans="2:4" ht="15.75" customHeight="1">
      <c r="B63" s="348"/>
      <c r="C63" s="348"/>
    </row>
    <row r="64" spans="2:4" ht="15.75" customHeight="1">
      <c r="B64" s="348"/>
      <c r="C64" s="348"/>
    </row>
    <row r="65" spans="2:4" ht="15.75" customHeight="1">
      <c r="B65" s="333" t="s">
        <v>268</v>
      </c>
      <c r="C65" s="334" t="s">
        <v>75</v>
      </c>
    </row>
    <row r="66" spans="2:4" ht="15.75" customHeight="1">
      <c r="B66" s="309" t="s">
        <v>240</v>
      </c>
      <c r="C66" s="310">
        <f t="shared" ref="C66:C76" si="3">C48*$C$62</f>
        <v>0</v>
      </c>
    </row>
    <row r="67" spans="2:4" ht="15.75" customHeight="1">
      <c r="B67" s="309" t="s">
        <v>14</v>
      </c>
      <c r="C67" s="335">
        <f t="shared" si="3"/>
        <v>7.4999999999999997E-2</v>
      </c>
    </row>
    <row r="68" spans="2:4" ht="15.75" customHeight="1">
      <c r="B68" s="309" t="s">
        <v>241</v>
      </c>
      <c r="C68" s="310">
        <f t="shared" si="3"/>
        <v>0.2</v>
      </c>
    </row>
    <row r="69" spans="2:4" ht="15.75" customHeight="1">
      <c r="B69" s="309" t="s">
        <v>242</v>
      </c>
      <c r="C69" s="310">
        <f t="shared" si="3"/>
        <v>0.2</v>
      </c>
    </row>
    <row r="70" spans="2:4" ht="15.75" customHeight="1">
      <c r="B70" s="311" t="s">
        <v>15</v>
      </c>
      <c r="C70" s="335">
        <f t="shared" si="3"/>
        <v>7.4999999999999997E-2</v>
      </c>
    </row>
    <row r="71" spans="2:4" ht="15.75" customHeight="1">
      <c r="B71" s="309" t="s">
        <v>16</v>
      </c>
      <c r="C71" s="335">
        <f t="shared" si="3"/>
        <v>0.125</v>
      </c>
    </row>
    <row r="72" spans="2:4" ht="15.75" customHeight="1">
      <c r="B72" s="309" t="s">
        <v>17</v>
      </c>
      <c r="C72" s="310">
        <f t="shared" si="3"/>
        <v>0.2</v>
      </c>
    </row>
    <row r="73" spans="2:4" ht="15.75" customHeight="1">
      <c r="B73" s="309" t="s">
        <v>18</v>
      </c>
      <c r="C73" s="310">
        <f t="shared" si="3"/>
        <v>0.2</v>
      </c>
    </row>
    <row r="74" spans="2:4" ht="15.75" customHeight="1">
      <c r="B74" s="309" t="s">
        <v>19</v>
      </c>
      <c r="C74" s="310">
        <f t="shared" si="3"/>
        <v>0</v>
      </c>
    </row>
    <row r="75" spans="2:4" ht="15.75" customHeight="1">
      <c r="B75" s="309" t="s">
        <v>20</v>
      </c>
      <c r="C75" s="310">
        <f t="shared" si="3"/>
        <v>0.2</v>
      </c>
    </row>
    <row r="76" spans="2:4" ht="15.75" customHeight="1">
      <c r="B76" s="313" t="s">
        <v>21</v>
      </c>
      <c r="C76" s="335">
        <f t="shared" si="3"/>
        <v>7.4999999999999997E-2</v>
      </c>
    </row>
    <row r="77" spans="2:4" ht="15.75" customHeight="1">
      <c r="B77" s="348"/>
      <c r="C77" s="348"/>
    </row>
    <row r="78" spans="2:4" ht="15.75" customHeight="1">
      <c r="B78" s="354"/>
      <c r="C78" s="306"/>
    </row>
    <row r="79" spans="2:4" ht="15.75" customHeight="1">
      <c r="B79" s="333" t="s">
        <v>269</v>
      </c>
      <c r="C79" s="308" t="s">
        <v>270</v>
      </c>
    </row>
    <row r="80" spans="2:4" ht="15.75" customHeight="1">
      <c r="B80" s="313"/>
      <c r="C80" s="332">
        <v>0.35</v>
      </c>
      <c r="D80" s="56" t="s">
        <v>299</v>
      </c>
    </row>
    <row r="81" spans="2:26" ht="15.75" customHeight="1"/>
    <row r="82" spans="2:26" ht="15.75" customHeight="1">
      <c r="B82" s="315" t="s">
        <v>271</v>
      </c>
      <c r="C82" s="315" t="s">
        <v>272</v>
      </c>
      <c r="D82" s="315">
        <v>2005</v>
      </c>
      <c r="E82" s="315">
        <v>2006</v>
      </c>
      <c r="F82" s="315">
        <v>2007</v>
      </c>
      <c r="G82" s="315">
        <v>2008</v>
      </c>
      <c r="H82" s="315">
        <v>2009</v>
      </c>
      <c r="I82" s="315">
        <v>2010</v>
      </c>
      <c r="J82" s="315">
        <v>2011</v>
      </c>
      <c r="K82" s="315">
        <v>2012</v>
      </c>
      <c r="L82" s="315">
        <v>2013</v>
      </c>
      <c r="M82" s="315">
        <v>2014</v>
      </c>
      <c r="N82" s="315">
        <v>2015</v>
      </c>
      <c r="O82" s="315">
        <v>2016</v>
      </c>
      <c r="P82" s="315">
        <v>2017</v>
      </c>
      <c r="Q82" s="315">
        <v>2018</v>
      </c>
      <c r="R82" s="508">
        <v>2019</v>
      </c>
      <c r="S82" s="508">
        <v>2020</v>
      </c>
      <c r="T82" s="508">
        <v>2021</v>
      </c>
      <c r="U82" s="508">
        <v>2022</v>
      </c>
      <c r="V82" s="508">
        <v>2023</v>
      </c>
    </row>
    <row r="83" spans="2:26" ht="15.75" customHeight="1">
      <c r="B83" s="319" t="s">
        <v>300</v>
      </c>
      <c r="C83" s="319"/>
      <c r="D83" s="509">
        <f t="shared" ref="D83:V83" si="4">((D35-$C$80)*$C$70/10^3)</f>
        <v>379.59173845588231</v>
      </c>
      <c r="E83" s="509">
        <f t="shared" si="4"/>
        <v>401.37126239569085</v>
      </c>
      <c r="F83" s="509">
        <f t="shared" si="4"/>
        <v>424.0402965954172</v>
      </c>
      <c r="G83" s="509">
        <f t="shared" si="4"/>
        <v>370.84488756668941</v>
      </c>
      <c r="H83" s="509">
        <f t="shared" si="4"/>
        <v>386.73477539158682</v>
      </c>
      <c r="I83" s="509">
        <f t="shared" si="4"/>
        <v>426.84360165697672</v>
      </c>
      <c r="J83" s="509">
        <f t="shared" si="4"/>
        <v>458.09775760772908</v>
      </c>
      <c r="K83" s="509">
        <f t="shared" si="4"/>
        <v>488.83977128761961</v>
      </c>
      <c r="L83" s="509">
        <f t="shared" si="4"/>
        <v>508.67854556942541</v>
      </c>
      <c r="M83" s="509">
        <f t="shared" si="4"/>
        <v>524.52800110978103</v>
      </c>
      <c r="N83" s="509">
        <f t="shared" si="4"/>
        <v>543.03251000170997</v>
      </c>
      <c r="O83" s="509">
        <f t="shared" si="4"/>
        <v>589.57006950923392</v>
      </c>
      <c r="P83" s="509">
        <f t="shared" si="4"/>
        <v>682.79344023426802</v>
      </c>
      <c r="Q83" s="509">
        <f t="shared" si="4"/>
        <v>779.42660028898752</v>
      </c>
      <c r="R83" s="509">
        <f t="shared" si="4"/>
        <v>832.86460302496573</v>
      </c>
      <c r="S83" s="509">
        <f t="shared" si="4"/>
        <v>719.19597374999989</v>
      </c>
      <c r="T83" s="509">
        <f t="shared" si="4"/>
        <v>750.26144570622421</v>
      </c>
      <c r="U83" s="509">
        <f t="shared" si="4"/>
        <v>795.48483857734232</v>
      </c>
      <c r="V83" s="509">
        <f t="shared" si="4"/>
        <v>824.42096586129423</v>
      </c>
    </row>
    <row r="84" spans="2:26" ht="15.75" customHeight="1">
      <c r="B84" s="510"/>
      <c r="C84" s="510"/>
      <c r="D84" s="510"/>
      <c r="E84" s="510"/>
      <c r="F84" s="510"/>
      <c r="G84" s="510"/>
      <c r="H84" s="510"/>
      <c r="I84" s="510"/>
      <c r="J84" s="510"/>
      <c r="K84" s="510"/>
      <c r="L84" s="510"/>
      <c r="M84" s="510"/>
      <c r="N84" s="510"/>
      <c r="O84" s="510"/>
      <c r="P84" s="510"/>
      <c r="Q84" s="510"/>
      <c r="R84" s="510"/>
      <c r="S84" s="510"/>
      <c r="T84" s="510"/>
      <c r="U84" s="510"/>
      <c r="V84" s="510"/>
    </row>
    <row r="85" spans="2:26" ht="15.75" customHeight="1">
      <c r="B85" s="315" t="s">
        <v>273</v>
      </c>
      <c r="C85" s="315" t="s">
        <v>274</v>
      </c>
      <c r="D85" s="315">
        <v>2005</v>
      </c>
      <c r="E85" s="315">
        <v>2006</v>
      </c>
      <c r="F85" s="315">
        <v>2007</v>
      </c>
      <c r="G85" s="315">
        <v>2008</v>
      </c>
      <c r="H85" s="315">
        <v>2009</v>
      </c>
      <c r="I85" s="315">
        <v>2010</v>
      </c>
      <c r="J85" s="315">
        <v>2011</v>
      </c>
      <c r="K85" s="315">
        <v>2012</v>
      </c>
      <c r="L85" s="315">
        <v>2013</v>
      </c>
      <c r="M85" s="315">
        <v>2014</v>
      </c>
      <c r="N85" s="315">
        <v>2015</v>
      </c>
      <c r="O85" s="315">
        <v>2016</v>
      </c>
      <c r="P85" s="315">
        <v>2017</v>
      </c>
      <c r="Q85" s="315">
        <v>2018</v>
      </c>
      <c r="R85" s="508">
        <v>2019</v>
      </c>
      <c r="S85" s="508">
        <v>2020</v>
      </c>
      <c r="T85" s="508">
        <v>2021</v>
      </c>
      <c r="U85" s="508">
        <v>2022</v>
      </c>
      <c r="V85" s="508">
        <v>2023</v>
      </c>
    </row>
    <row r="86" spans="2:26" ht="15.75" customHeight="1">
      <c r="B86" s="319" t="s">
        <v>295</v>
      </c>
      <c r="C86" s="319" t="s">
        <v>253</v>
      </c>
      <c r="D86" s="319">
        <v>0</v>
      </c>
      <c r="E86" s="319">
        <v>0</v>
      </c>
      <c r="F86" s="319">
        <v>0</v>
      </c>
      <c r="G86" s="319">
        <v>0</v>
      </c>
      <c r="H86" s="319">
        <v>0</v>
      </c>
      <c r="I86" s="319">
        <v>0</v>
      </c>
      <c r="J86" s="319">
        <v>0</v>
      </c>
      <c r="K86" s="319">
        <v>0</v>
      </c>
      <c r="L86" s="319">
        <v>0</v>
      </c>
      <c r="M86" s="319">
        <v>0</v>
      </c>
      <c r="N86" s="319">
        <v>0</v>
      </c>
      <c r="O86" s="319">
        <v>0</v>
      </c>
      <c r="P86" s="319">
        <v>0</v>
      </c>
      <c r="Q86" s="319">
        <v>0</v>
      </c>
      <c r="R86" s="511">
        <v>0</v>
      </c>
      <c r="S86" s="511">
        <v>0</v>
      </c>
      <c r="T86" s="511">
        <v>0</v>
      </c>
      <c r="U86" s="511">
        <v>0</v>
      </c>
      <c r="V86" s="511">
        <v>0</v>
      </c>
    </row>
    <row r="87" spans="2:26" ht="15.75" customHeight="1">
      <c r="B87" s="510"/>
      <c r="C87" s="510"/>
      <c r="D87" s="510"/>
      <c r="E87" s="510"/>
      <c r="F87" s="510"/>
      <c r="G87" s="510"/>
      <c r="H87" s="510"/>
      <c r="I87" s="510"/>
      <c r="J87" s="510"/>
      <c r="K87" s="510"/>
      <c r="L87" s="510"/>
      <c r="M87" s="510"/>
      <c r="N87" s="510"/>
      <c r="O87" s="510"/>
      <c r="P87" s="510"/>
      <c r="Q87" s="510"/>
      <c r="R87" s="510"/>
      <c r="S87" s="510"/>
      <c r="T87" s="510"/>
      <c r="U87" s="510"/>
      <c r="V87" s="510"/>
    </row>
    <row r="88" spans="2:26" ht="15.75" customHeight="1">
      <c r="B88" s="480" t="s">
        <v>275</v>
      </c>
      <c r="C88" s="480" t="s">
        <v>272</v>
      </c>
      <c r="D88" s="480">
        <v>2005</v>
      </c>
      <c r="E88" s="480">
        <v>2006</v>
      </c>
      <c r="F88" s="480">
        <v>2007</v>
      </c>
      <c r="G88" s="480">
        <v>2008</v>
      </c>
      <c r="H88" s="480">
        <v>2009</v>
      </c>
      <c r="I88" s="480">
        <v>2010</v>
      </c>
      <c r="J88" s="480">
        <v>2011</v>
      </c>
      <c r="K88" s="480">
        <v>2012</v>
      </c>
      <c r="L88" s="480">
        <v>2013</v>
      </c>
      <c r="M88" s="480">
        <v>2014</v>
      </c>
      <c r="N88" s="480">
        <v>2015</v>
      </c>
      <c r="O88" s="480">
        <v>2016</v>
      </c>
      <c r="P88" s="480">
        <v>2017</v>
      </c>
      <c r="Q88" s="480">
        <v>2018</v>
      </c>
      <c r="R88" s="483">
        <v>2019</v>
      </c>
      <c r="S88" s="483">
        <v>2020</v>
      </c>
      <c r="T88" s="483">
        <v>2021</v>
      </c>
      <c r="U88" s="483">
        <v>2022</v>
      </c>
      <c r="V88" s="483">
        <v>2023</v>
      </c>
    </row>
    <row r="89" spans="2:26" ht="15.75" customHeight="1">
      <c r="B89" s="485" t="s">
        <v>0</v>
      </c>
      <c r="C89" s="491"/>
      <c r="D89" s="497">
        <f t="shared" ref="D89:V89" si="5">D83*(1-D86)</f>
        <v>379.59173845588231</v>
      </c>
      <c r="E89" s="497">
        <f t="shared" si="5"/>
        <v>401.37126239569085</v>
      </c>
      <c r="F89" s="497">
        <f t="shared" si="5"/>
        <v>424.0402965954172</v>
      </c>
      <c r="G89" s="497">
        <f t="shared" si="5"/>
        <v>370.84488756668941</v>
      </c>
      <c r="H89" s="497">
        <f t="shared" si="5"/>
        <v>386.73477539158682</v>
      </c>
      <c r="I89" s="497">
        <f t="shared" si="5"/>
        <v>426.84360165697672</v>
      </c>
      <c r="J89" s="497">
        <f t="shared" si="5"/>
        <v>458.09775760772908</v>
      </c>
      <c r="K89" s="497">
        <f t="shared" si="5"/>
        <v>488.83977128761961</v>
      </c>
      <c r="L89" s="497">
        <f t="shared" si="5"/>
        <v>508.67854556942541</v>
      </c>
      <c r="M89" s="497">
        <f t="shared" si="5"/>
        <v>524.52800110978103</v>
      </c>
      <c r="N89" s="497">
        <f t="shared" si="5"/>
        <v>543.03251000170997</v>
      </c>
      <c r="O89" s="497">
        <f t="shared" si="5"/>
        <v>589.57006950923392</v>
      </c>
      <c r="P89" s="497">
        <f t="shared" si="5"/>
        <v>682.79344023426802</v>
      </c>
      <c r="Q89" s="497">
        <f t="shared" si="5"/>
        <v>779.42660028898752</v>
      </c>
      <c r="R89" s="497">
        <f t="shared" si="5"/>
        <v>832.86460302496573</v>
      </c>
      <c r="S89" s="497">
        <f t="shared" si="5"/>
        <v>719.19597374999989</v>
      </c>
      <c r="T89" s="497">
        <f t="shared" si="5"/>
        <v>750.26144570622421</v>
      </c>
      <c r="U89" s="497">
        <f t="shared" si="5"/>
        <v>795.48483857734232</v>
      </c>
      <c r="V89" s="497">
        <f t="shared" si="5"/>
        <v>824.42096586129423</v>
      </c>
      <c r="W89" s="355"/>
      <c r="X89" s="355"/>
      <c r="Y89" s="355"/>
      <c r="Z89" s="355"/>
    </row>
    <row r="90" spans="2:26"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6" ht="15.75" customHeight="1">
      <c r="B91" s="476" t="s">
        <v>301</v>
      </c>
      <c r="C91" s="476" t="s">
        <v>272</v>
      </c>
      <c r="D91" s="476"/>
      <c r="E91" s="476"/>
      <c r="F91" s="476"/>
      <c r="G91" s="476"/>
      <c r="H91" s="476"/>
      <c r="I91" s="476"/>
      <c r="J91" s="476"/>
      <c r="K91" s="476"/>
      <c r="L91" s="476"/>
      <c r="M91" s="476"/>
      <c r="N91" s="476"/>
      <c r="O91" s="476"/>
      <c r="P91" s="476"/>
      <c r="Q91" s="476"/>
      <c r="R91" s="512"/>
      <c r="S91" s="512"/>
      <c r="T91" s="512"/>
      <c r="U91" s="512"/>
      <c r="V91" s="512"/>
    </row>
    <row r="92" spans="2:26" ht="15.75" customHeight="1">
      <c r="B92" s="491" t="s">
        <v>0</v>
      </c>
      <c r="C92" s="491"/>
      <c r="D92" s="487">
        <f t="shared" ref="D92:V92" si="6">D89*21</f>
        <v>7971.4265075735284</v>
      </c>
      <c r="E92" s="487">
        <f t="shared" si="6"/>
        <v>8428.7965103095084</v>
      </c>
      <c r="F92" s="487">
        <f t="shared" si="6"/>
        <v>8904.8462285037604</v>
      </c>
      <c r="G92" s="487">
        <f t="shared" si="6"/>
        <v>7787.7426389004777</v>
      </c>
      <c r="H92" s="487">
        <f t="shared" si="6"/>
        <v>8121.4302832233234</v>
      </c>
      <c r="I92" s="487">
        <f t="shared" si="6"/>
        <v>8963.7156347965101</v>
      </c>
      <c r="J92" s="487">
        <f t="shared" si="6"/>
        <v>9620.0529097623112</v>
      </c>
      <c r="K92" s="487">
        <f t="shared" si="6"/>
        <v>10265.635197040012</v>
      </c>
      <c r="L92" s="487">
        <f t="shared" si="6"/>
        <v>10682.249456957934</v>
      </c>
      <c r="M92" s="487">
        <f t="shared" si="6"/>
        <v>11015.088023305401</v>
      </c>
      <c r="N92" s="487">
        <f t="shared" si="6"/>
        <v>11403.68271003591</v>
      </c>
      <c r="O92" s="487">
        <f t="shared" si="6"/>
        <v>12380.971459693912</v>
      </c>
      <c r="P92" s="487">
        <f t="shared" si="6"/>
        <v>14338.662244919629</v>
      </c>
      <c r="Q92" s="487">
        <f t="shared" si="6"/>
        <v>16367.958606068738</v>
      </c>
      <c r="R92" s="487">
        <f t="shared" si="6"/>
        <v>17490.156663524282</v>
      </c>
      <c r="S92" s="487">
        <f t="shared" si="6"/>
        <v>15103.115448749997</v>
      </c>
      <c r="T92" s="487">
        <f t="shared" si="6"/>
        <v>15755.490359830708</v>
      </c>
      <c r="U92" s="487">
        <f t="shared" si="6"/>
        <v>16705.181610124189</v>
      </c>
      <c r="V92" s="487">
        <f t="shared" si="6"/>
        <v>17312.840283087178</v>
      </c>
    </row>
    <row r="93" spans="2:26"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6" ht="15.75" customHeight="1">
      <c r="B94" s="480" t="s">
        <v>302</v>
      </c>
      <c r="C94" s="480" t="s">
        <v>272</v>
      </c>
      <c r="D94" s="480">
        <v>2005</v>
      </c>
      <c r="E94" s="480">
        <v>2006</v>
      </c>
      <c r="F94" s="480">
        <v>2007</v>
      </c>
      <c r="G94" s="480">
        <v>2008</v>
      </c>
      <c r="H94" s="480">
        <v>2009</v>
      </c>
      <c r="I94" s="480">
        <v>2010</v>
      </c>
      <c r="J94" s="480">
        <v>2011</v>
      </c>
      <c r="K94" s="480">
        <v>2012</v>
      </c>
      <c r="L94" s="480">
        <v>2013</v>
      </c>
      <c r="M94" s="480">
        <v>2014</v>
      </c>
      <c r="N94" s="480">
        <v>2015</v>
      </c>
      <c r="O94" s="480">
        <v>2016</v>
      </c>
      <c r="P94" s="480">
        <v>2017</v>
      </c>
      <c r="Q94" s="480">
        <v>2018</v>
      </c>
      <c r="R94" s="483">
        <v>2019</v>
      </c>
      <c r="S94" s="483">
        <v>2020</v>
      </c>
      <c r="T94" s="483">
        <v>2021</v>
      </c>
      <c r="U94" s="483">
        <v>2022</v>
      </c>
      <c r="V94" s="483">
        <v>2023</v>
      </c>
    </row>
    <row r="95" spans="2:26" ht="15.75" customHeight="1">
      <c r="B95" s="513" t="s">
        <v>0</v>
      </c>
      <c r="C95" s="513"/>
      <c r="D95" s="514">
        <f t="shared" ref="D95:V95" si="7">D89*27.9</f>
        <v>10590.609502919116</v>
      </c>
      <c r="E95" s="514">
        <f t="shared" si="7"/>
        <v>11198.258220839774</v>
      </c>
      <c r="F95" s="514">
        <f t="shared" si="7"/>
        <v>11830.724275012139</v>
      </c>
      <c r="G95" s="514">
        <f t="shared" si="7"/>
        <v>10346.572363110634</v>
      </c>
      <c r="H95" s="514">
        <f t="shared" si="7"/>
        <v>10789.900233425271</v>
      </c>
      <c r="I95" s="514">
        <f t="shared" si="7"/>
        <v>11908.93648622965</v>
      </c>
      <c r="J95" s="514">
        <f t="shared" si="7"/>
        <v>12780.927437255641</v>
      </c>
      <c r="K95" s="514">
        <f t="shared" si="7"/>
        <v>13638.629618924586</v>
      </c>
      <c r="L95" s="514">
        <f t="shared" si="7"/>
        <v>14192.131421386968</v>
      </c>
      <c r="M95" s="514">
        <f t="shared" si="7"/>
        <v>14634.331230962889</v>
      </c>
      <c r="N95" s="514">
        <f t="shared" si="7"/>
        <v>15150.607029047707</v>
      </c>
      <c r="O95" s="514">
        <f t="shared" si="7"/>
        <v>16449.004939307626</v>
      </c>
      <c r="P95" s="514">
        <f t="shared" si="7"/>
        <v>19049.936982536077</v>
      </c>
      <c r="Q95" s="514">
        <f t="shared" si="7"/>
        <v>21746.002148062751</v>
      </c>
      <c r="R95" s="514">
        <f t="shared" si="7"/>
        <v>23236.922424396544</v>
      </c>
      <c r="S95" s="514">
        <f t="shared" si="7"/>
        <v>20065.567667624997</v>
      </c>
      <c r="T95" s="514">
        <f t="shared" si="7"/>
        <v>20932.294335203653</v>
      </c>
      <c r="U95" s="514">
        <f t="shared" si="7"/>
        <v>22194.02699630785</v>
      </c>
      <c r="V95" s="514">
        <f t="shared" si="7"/>
        <v>23001.344947530109</v>
      </c>
    </row>
    <row r="96" spans="2:26" ht="15.75" customHeight="1">
      <c r="B96" s="486"/>
      <c r="C96" s="486"/>
      <c r="D96" s="486"/>
      <c r="E96" s="486"/>
      <c r="F96" s="486"/>
      <c r="G96" s="486"/>
      <c r="H96" s="486"/>
      <c r="I96" s="486"/>
      <c r="J96" s="486"/>
      <c r="K96" s="486"/>
      <c r="L96" s="486"/>
      <c r="M96" s="486"/>
      <c r="N96" s="486"/>
      <c r="O96" s="486"/>
      <c r="P96" s="486"/>
      <c r="Q96" s="486"/>
      <c r="R96" s="486"/>
      <c r="S96" s="486"/>
      <c r="T96" s="486"/>
      <c r="U96" s="486"/>
      <c r="V96" s="486"/>
    </row>
    <row r="97" spans="2:22" ht="15.75" customHeight="1">
      <c r="B97" s="510"/>
      <c r="C97" s="510"/>
      <c r="D97" s="510"/>
      <c r="E97" s="510"/>
      <c r="F97" s="510"/>
      <c r="G97" s="510"/>
      <c r="H97" s="510"/>
      <c r="I97" s="510"/>
      <c r="J97" s="510"/>
      <c r="K97" s="510"/>
      <c r="L97" s="510"/>
      <c r="M97" s="510"/>
      <c r="N97" s="510"/>
      <c r="O97" s="510"/>
      <c r="P97" s="510"/>
      <c r="Q97" s="510"/>
      <c r="R97" s="510"/>
      <c r="S97" s="510"/>
      <c r="T97" s="510"/>
      <c r="U97" s="510"/>
      <c r="V97" s="510"/>
    </row>
    <row r="98" spans="2:22" ht="15.75" customHeight="1">
      <c r="B98" s="515" t="s">
        <v>303</v>
      </c>
      <c r="C98" s="516" t="s">
        <v>272</v>
      </c>
      <c r="D98" s="516">
        <v>2005</v>
      </c>
      <c r="E98" s="516">
        <v>2006</v>
      </c>
      <c r="F98" s="516">
        <v>2007</v>
      </c>
      <c r="G98" s="516">
        <v>2008</v>
      </c>
      <c r="H98" s="516">
        <v>2009</v>
      </c>
      <c r="I98" s="516">
        <v>2010</v>
      </c>
      <c r="J98" s="516">
        <v>2011</v>
      </c>
      <c r="K98" s="516">
        <v>2012</v>
      </c>
      <c r="L98" s="516">
        <v>2013</v>
      </c>
      <c r="M98" s="516">
        <v>2014</v>
      </c>
      <c r="N98" s="516">
        <v>2015</v>
      </c>
      <c r="O98" s="516">
        <v>2016</v>
      </c>
      <c r="P98" s="516">
        <v>2017</v>
      </c>
      <c r="Q98" s="516">
        <v>2018</v>
      </c>
      <c r="R98" s="517">
        <v>2019</v>
      </c>
      <c r="S98" s="517">
        <v>2020</v>
      </c>
      <c r="T98" s="517">
        <v>2021</v>
      </c>
      <c r="U98" s="508">
        <v>2022</v>
      </c>
      <c r="V98" s="508">
        <v>2023</v>
      </c>
    </row>
    <row r="99" spans="2:22" ht="15.75" customHeight="1">
      <c r="B99" s="518" t="s">
        <v>0</v>
      </c>
      <c r="C99" s="519"/>
      <c r="D99" s="520">
        <f t="shared" ref="D99:V99" si="8">D89*5.38</f>
        <v>2042.2035528926467</v>
      </c>
      <c r="E99" s="520">
        <f t="shared" si="8"/>
        <v>2159.3773916888167</v>
      </c>
      <c r="F99" s="520">
        <f t="shared" si="8"/>
        <v>2281.3367956833445</v>
      </c>
      <c r="G99" s="520">
        <f t="shared" si="8"/>
        <v>1995.145495108789</v>
      </c>
      <c r="H99" s="520">
        <f t="shared" si="8"/>
        <v>2080.6330916067373</v>
      </c>
      <c r="I99" s="520">
        <f t="shared" si="8"/>
        <v>2296.4185769145347</v>
      </c>
      <c r="J99" s="520">
        <f t="shared" si="8"/>
        <v>2464.5659359295823</v>
      </c>
      <c r="K99" s="520">
        <f t="shared" si="8"/>
        <v>2629.9579695273933</v>
      </c>
      <c r="L99" s="520">
        <f t="shared" si="8"/>
        <v>2736.6905751635086</v>
      </c>
      <c r="M99" s="520">
        <f t="shared" si="8"/>
        <v>2821.960645970622</v>
      </c>
      <c r="N99" s="520">
        <f t="shared" si="8"/>
        <v>2921.5149038091995</v>
      </c>
      <c r="O99" s="520">
        <f t="shared" si="8"/>
        <v>3171.8869739596785</v>
      </c>
      <c r="P99" s="520">
        <f t="shared" si="8"/>
        <v>3673.428708460362</v>
      </c>
      <c r="Q99" s="520">
        <f t="shared" si="8"/>
        <v>4193.3151095547528</v>
      </c>
      <c r="R99" s="520">
        <f t="shared" si="8"/>
        <v>4480.811564274316</v>
      </c>
      <c r="S99" s="520">
        <f t="shared" si="8"/>
        <v>3869.2743387749993</v>
      </c>
      <c r="T99" s="520">
        <f t="shared" si="8"/>
        <v>4036.4065778994864</v>
      </c>
      <c r="U99" s="520">
        <f t="shared" si="8"/>
        <v>4279.7084315461016</v>
      </c>
      <c r="V99" s="520">
        <f t="shared" si="8"/>
        <v>4435.384796333763</v>
      </c>
    </row>
    <row r="100" spans="2:22" ht="15.75" customHeight="1"/>
    <row r="101" spans="2:22" ht="15.75" customHeight="1"/>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B2:C2"/>
    <mergeCell ref="B47:C4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ED4E5-2F53-4D1B-8B06-8E91CDDF10F1}">
  <sheetPr>
    <tabColor theme="4" tint="0.59999389629810485"/>
    <outlinePr summaryBelow="0" summaryRight="0"/>
  </sheetPr>
  <dimension ref="B1:Y1003"/>
  <sheetViews>
    <sheetView workbookViewId="0">
      <selection activeCell="B103" sqref="B103:B105"/>
    </sheetView>
  </sheetViews>
  <sheetFormatPr defaultColWidth="12.6640625" defaultRowHeight="15" customHeight="1"/>
  <cols>
    <col min="1" max="2" width="12.6640625" style="10" customWidth="1"/>
    <col min="3" max="3" width="20" style="10" customWidth="1"/>
    <col min="4" max="6" width="12.6640625" style="10" customWidth="1"/>
    <col min="7" max="16384" width="12.6640625" style="10"/>
  </cols>
  <sheetData>
    <row r="1" spans="2:25" ht="15.75" customHeight="1">
      <c r="W1" s="347"/>
    </row>
    <row r="2" spans="2:25" ht="15.75" customHeight="1">
      <c r="B2" s="55" t="s">
        <v>304</v>
      </c>
    </row>
    <row r="3" spans="2:25" ht="15.75" customHeight="1"/>
    <row r="4" spans="2:25" ht="15.75" customHeight="1">
      <c r="B4" s="734" t="s">
        <v>8</v>
      </c>
      <c r="C4" s="732" t="s">
        <v>244</v>
      </c>
      <c r="D4" s="670"/>
      <c r="E4" s="670"/>
      <c r="F4" s="670"/>
      <c r="G4" s="670"/>
      <c r="H4" s="670"/>
      <c r="I4" s="670"/>
      <c r="J4" s="670"/>
      <c r="K4" s="670"/>
      <c r="L4" s="670"/>
      <c r="M4" s="670"/>
      <c r="N4" s="670"/>
      <c r="O4" s="670"/>
      <c r="P4" s="670"/>
      <c r="Q4" s="670"/>
      <c r="R4" s="672"/>
      <c r="S4" s="317"/>
      <c r="T4" s="317"/>
      <c r="U4" s="317"/>
    </row>
    <row r="5" spans="2:25" ht="15.75" customHeight="1">
      <c r="B5" s="665"/>
      <c r="C5" s="316" t="s">
        <v>276</v>
      </c>
      <c r="D5" s="345">
        <v>38108</v>
      </c>
      <c r="E5" s="345">
        <v>38504</v>
      </c>
      <c r="F5" s="345">
        <v>38899</v>
      </c>
      <c r="G5" s="345">
        <v>39295</v>
      </c>
      <c r="H5" s="345">
        <v>39692</v>
      </c>
      <c r="I5" s="346">
        <v>40087</v>
      </c>
      <c r="J5" s="346">
        <v>40483</v>
      </c>
      <c r="K5" s="346">
        <v>40878</v>
      </c>
      <c r="L5" s="316" t="s">
        <v>277</v>
      </c>
      <c r="M5" s="316" t="s">
        <v>278</v>
      </c>
      <c r="N5" s="316" t="s">
        <v>210</v>
      </c>
      <c r="O5" s="316" t="s">
        <v>279</v>
      </c>
      <c r="P5" s="316" t="s">
        <v>280</v>
      </c>
      <c r="Q5" s="316" t="s">
        <v>281</v>
      </c>
      <c r="R5" s="316" t="s">
        <v>282</v>
      </c>
      <c r="S5" s="317" t="s">
        <v>283</v>
      </c>
      <c r="T5" s="317" t="s">
        <v>284</v>
      </c>
      <c r="U5" s="317" t="s">
        <v>285</v>
      </c>
      <c r="V5" s="247" t="s">
        <v>286</v>
      </c>
      <c r="W5" s="247" t="s">
        <v>287</v>
      </c>
      <c r="Y5" s="247" t="s">
        <v>162</v>
      </c>
    </row>
    <row r="6" spans="2:25" ht="15.75" customHeight="1">
      <c r="B6" s="326"/>
      <c r="C6" s="356"/>
      <c r="D6" s="357"/>
      <c r="E6" s="357"/>
      <c r="F6" s="357"/>
      <c r="G6" s="358"/>
      <c r="H6" s="358"/>
      <c r="I6" s="358"/>
      <c r="J6" s="358"/>
      <c r="K6" s="358"/>
      <c r="L6" s="358"/>
      <c r="M6" s="358"/>
      <c r="N6" s="358"/>
      <c r="O6" s="358"/>
      <c r="P6" s="358"/>
      <c r="Q6" s="358"/>
      <c r="R6" s="358"/>
      <c r="S6" s="27"/>
      <c r="T6" s="27"/>
      <c r="U6" s="27"/>
    </row>
    <row r="7" spans="2:25" ht="15.75" customHeight="1">
      <c r="B7" s="326" t="s">
        <v>0</v>
      </c>
      <c r="C7" s="356" t="s">
        <v>305</v>
      </c>
      <c r="D7" s="359">
        <v>7825</v>
      </c>
      <c r="E7" s="359">
        <v>6780</v>
      </c>
      <c r="F7" s="359">
        <v>7667</v>
      </c>
      <c r="G7" s="359">
        <v>7932</v>
      </c>
      <c r="H7" s="359">
        <v>6528</v>
      </c>
      <c r="I7" s="357">
        <v>7389</v>
      </c>
      <c r="J7" s="357">
        <v>8094</v>
      </c>
      <c r="K7" s="357">
        <v>8632</v>
      </c>
      <c r="L7" s="357">
        <v>9213</v>
      </c>
      <c r="M7" s="357">
        <v>9510</v>
      </c>
      <c r="N7" s="357">
        <v>9803</v>
      </c>
      <c r="O7" s="357">
        <v>10163</v>
      </c>
      <c r="P7" s="357">
        <v>11194</v>
      </c>
      <c r="Q7" s="357">
        <v>13156</v>
      </c>
      <c r="R7" s="357">
        <v>14892</v>
      </c>
      <c r="S7" s="357">
        <v>15635</v>
      </c>
      <c r="T7" s="357">
        <v>12576</v>
      </c>
      <c r="U7" s="357">
        <v>14364</v>
      </c>
      <c r="V7" s="347">
        <f>U7*(1+Y7)</f>
        <v>14886.497096656763</v>
      </c>
      <c r="W7" s="347">
        <f>V7*(1+Y7)</f>
        <v>15428.000265160836</v>
      </c>
      <c r="Y7" s="68">
        <f>(((U7/D7)^(1/17))-1)</f>
        <v>3.6375459249287312E-2</v>
      </c>
    </row>
    <row r="8" spans="2:25" ht="15.75" customHeight="1"/>
    <row r="9" spans="2:25" ht="15.75" customHeight="1">
      <c r="B9" s="735" t="s">
        <v>306</v>
      </c>
      <c r="C9" s="688"/>
      <c r="D9" s="688"/>
      <c r="E9" s="688"/>
      <c r="F9" s="688"/>
      <c r="G9" s="348"/>
      <c r="H9" s="348"/>
    </row>
    <row r="10" spans="2:25" ht="15.75" customHeight="1">
      <c r="B10" s="733"/>
      <c r="C10" s="688"/>
      <c r="D10" s="688"/>
      <c r="E10" s="688"/>
      <c r="F10" s="348"/>
      <c r="G10" s="348"/>
      <c r="H10" s="348"/>
    </row>
    <row r="11" spans="2:25" ht="15.75" customHeight="1">
      <c r="B11" s="306" t="s">
        <v>307</v>
      </c>
      <c r="C11" s="348"/>
      <c r="D11" s="348"/>
      <c r="E11" s="348"/>
      <c r="F11" s="348"/>
      <c r="G11" s="348"/>
      <c r="H11" s="348"/>
    </row>
    <row r="12" spans="2:25" ht="15.75" customHeight="1">
      <c r="B12" s="736" t="s">
        <v>308</v>
      </c>
      <c r="C12" s="688"/>
      <c r="D12" s="688"/>
      <c r="E12" s="688"/>
      <c r="F12" s="688"/>
      <c r="G12" s="688"/>
      <c r="H12" s="688"/>
    </row>
    <row r="13" spans="2:25" ht="15.75" customHeight="1">
      <c r="B13" s="688"/>
      <c r="C13" s="688"/>
      <c r="D13" s="688"/>
      <c r="E13" s="688"/>
      <c r="F13" s="688"/>
      <c r="G13" s="688"/>
      <c r="H13" s="688"/>
    </row>
    <row r="14" spans="2:25" ht="15.75" customHeight="1"/>
    <row r="15" spans="2:25" ht="15.75" customHeight="1">
      <c r="B15" s="737" t="s">
        <v>309</v>
      </c>
      <c r="C15" s="688"/>
      <c r="D15" s="688"/>
      <c r="E15" s="348"/>
      <c r="F15" s="348"/>
      <c r="G15" s="348"/>
      <c r="H15" s="348"/>
      <c r="I15" s="348"/>
      <c r="J15" s="348"/>
      <c r="K15" s="348"/>
      <c r="L15" s="348"/>
      <c r="M15" s="348"/>
      <c r="N15" s="348"/>
      <c r="O15" s="348"/>
      <c r="P15" s="348"/>
      <c r="Q15" s="348"/>
      <c r="R15" s="348"/>
    </row>
    <row r="16" spans="2:25" ht="15.75" customHeight="1">
      <c r="B16" s="348" t="s">
        <v>310</v>
      </c>
      <c r="C16" s="348"/>
      <c r="D16" s="348"/>
      <c r="E16" s="348"/>
      <c r="F16" s="348"/>
      <c r="G16" s="348"/>
      <c r="H16" s="348"/>
      <c r="I16" s="348"/>
      <c r="J16" s="348"/>
      <c r="K16" s="348"/>
      <c r="L16" s="348"/>
      <c r="M16" s="348"/>
      <c r="N16" s="348"/>
      <c r="O16" s="348"/>
      <c r="P16" s="348"/>
      <c r="Q16" s="348"/>
      <c r="R16" s="348"/>
    </row>
    <row r="17" spans="2:21" ht="15.75" customHeight="1">
      <c r="B17" s="733" t="s">
        <v>309</v>
      </c>
      <c r="C17" s="688"/>
      <c r="D17" s="688"/>
      <c r="E17" s="361"/>
      <c r="F17" s="361"/>
      <c r="G17" s="361"/>
      <c r="H17" s="361"/>
      <c r="I17" s="361"/>
      <c r="J17" s="361"/>
      <c r="K17" s="361"/>
      <c r="L17" s="361"/>
      <c r="M17" s="361"/>
      <c r="N17" s="361"/>
      <c r="O17" s="361"/>
      <c r="P17" s="361"/>
      <c r="Q17" s="361"/>
      <c r="R17" s="361"/>
      <c r="S17" s="55"/>
      <c r="T17" s="55"/>
      <c r="U17" s="55"/>
    </row>
    <row r="18" spans="2:21" ht="15.75" customHeight="1">
      <c r="B18" s="733" t="s">
        <v>310</v>
      </c>
      <c r="C18" s="688"/>
      <c r="D18" s="688"/>
      <c r="E18" s="362"/>
      <c r="F18" s="362"/>
      <c r="G18" s="362"/>
      <c r="H18" s="362"/>
      <c r="I18" s="363"/>
      <c r="J18" s="363"/>
      <c r="K18" s="363"/>
      <c r="L18" s="361"/>
      <c r="M18" s="361"/>
      <c r="N18" s="361"/>
      <c r="O18" s="361"/>
      <c r="P18" s="361"/>
      <c r="Q18" s="361"/>
      <c r="R18" s="361"/>
      <c r="S18" s="55"/>
      <c r="T18" s="55"/>
      <c r="U18" s="55"/>
    </row>
    <row r="19" spans="2:21" ht="15.75" customHeight="1">
      <c r="B19" s="341"/>
      <c r="C19" s="348"/>
      <c r="D19" s="364"/>
      <c r="E19" s="364"/>
      <c r="F19" s="364"/>
      <c r="G19" s="364"/>
      <c r="H19" s="364"/>
      <c r="I19" s="364"/>
      <c r="J19" s="364"/>
      <c r="K19" s="364"/>
      <c r="L19" s="364"/>
      <c r="M19" s="364"/>
      <c r="N19" s="365"/>
      <c r="O19" s="365"/>
      <c r="P19" s="364"/>
      <c r="Q19" s="364"/>
      <c r="R19" s="364"/>
      <c r="S19" s="56"/>
      <c r="T19" s="56"/>
      <c r="U19" s="56"/>
    </row>
    <row r="20" spans="2:21" ht="15.75" customHeight="1">
      <c r="B20" s="366"/>
      <c r="C20" s="306"/>
      <c r="D20" s="306"/>
      <c r="E20" s="306"/>
      <c r="F20" s="306"/>
      <c r="G20" s="306"/>
      <c r="H20" s="306"/>
      <c r="I20" s="306"/>
      <c r="J20" s="306"/>
      <c r="K20" s="306"/>
      <c r="L20" s="306"/>
      <c r="M20" s="306"/>
      <c r="N20" s="306"/>
      <c r="O20" s="306"/>
      <c r="P20" s="306"/>
      <c r="Q20" s="306"/>
      <c r="R20" s="306"/>
      <c r="S20" s="55"/>
      <c r="T20" s="55"/>
      <c r="U20" s="55"/>
    </row>
    <row r="21" spans="2:21" ht="15.75" customHeight="1"/>
    <row r="22" spans="2:21" ht="15.75" customHeight="1">
      <c r="B22" s="348"/>
    </row>
    <row r="23" spans="2:21" ht="15.75" customHeight="1">
      <c r="B23" s="348"/>
    </row>
    <row r="24" spans="2:21" ht="15.75" customHeight="1"/>
    <row r="25" spans="2:21" ht="15.75" customHeight="1"/>
    <row r="26" spans="2:21" ht="15.75" customHeight="1"/>
    <row r="27" spans="2:21" ht="15.75" customHeight="1"/>
    <row r="28" spans="2:21" ht="15.75" customHeight="1"/>
    <row r="29" spans="2:21" ht="15.75" customHeight="1"/>
    <row r="30" spans="2:21" ht="15.75" customHeight="1"/>
    <row r="31" spans="2:21" ht="15.75" customHeight="1"/>
    <row r="32" spans="2:2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22" ht="15.75" customHeight="1"/>
    <row r="82" spans="2:22" ht="15.75" customHeight="1"/>
    <row r="83" spans="2:22" ht="15.75" customHeight="1"/>
    <row r="84" spans="2:22" ht="15.75" customHeight="1"/>
    <row r="85" spans="2:22" ht="15.75" customHeight="1"/>
    <row r="86" spans="2:22" ht="15.75" customHeight="1"/>
    <row r="87" spans="2:22" ht="15.75" customHeight="1"/>
    <row r="88" spans="2:22" ht="15.75" customHeight="1">
      <c r="B88" s="486"/>
      <c r="C88" s="486"/>
      <c r="D88" s="486"/>
      <c r="E88" s="486"/>
      <c r="F88" s="486"/>
      <c r="G88" s="486"/>
      <c r="H88" s="486"/>
      <c r="I88" s="486"/>
      <c r="J88" s="486"/>
      <c r="K88" s="486"/>
      <c r="L88" s="486"/>
      <c r="M88" s="486"/>
      <c r="N88" s="486"/>
      <c r="O88" s="486"/>
      <c r="P88" s="486"/>
      <c r="Q88" s="486"/>
      <c r="R88" s="486"/>
      <c r="S88" s="486"/>
      <c r="T88" s="486"/>
      <c r="U88" s="486"/>
      <c r="V88" s="486"/>
    </row>
    <row r="89" spans="2:22" ht="15.75" customHeight="1">
      <c r="B89" s="486"/>
      <c r="C89" s="486"/>
      <c r="D89" s="486"/>
      <c r="E89" s="486"/>
      <c r="F89" s="486"/>
      <c r="G89" s="486"/>
      <c r="H89" s="486"/>
      <c r="I89" s="486"/>
      <c r="J89" s="486"/>
      <c r="K89" s="486"/>
      <c r="L89" s="486"/>
      <c r="M89" s="486"/>
      <c r="N89" s="486"/>
      <c r="O89" s="486"/>
      <c r="P89" s="486"/>
      <c r="Q89" s="486"/>
      <c r="R89" s="486"/>
      <c r="S89" s="486"/>
      <c r="T89" s="486"/>
      <c r="U89" s="486"/>
      <c r="V89" s="486"/>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t="s">
        <v>528</v>
      </c>
      <c r="C91" s="486"/>
      <c r="D91" s="486">
        <f>D89+D90</f>
        <v>0</v>
      </c>
      <c r="E91" s="486">
        <f t="shared" ref="E91:V91" si="0">E89+E90</f>
        <v>0</v>
      </c>
      <c r="F91" s="486">
        <f t="shared" si="0"/>
        <v>0</v>
      </c>
      <c r="G91" s="486">
        <f t="shared" si="0"/>
        <v>0</v>
      </c>
      <c r="H91" s="486">
        <f t="shared" si="0"/>
        <v>0</v>
      </c>
      <c r="I91" s="486">
        <f t="shared" si="0"/>
        <v>0</v>
      </c>
      <c r="J91" s="486">
        <f t="shared" si="0"/>
        <v>0</v>
      </c>
      <c r="K91" s="486">
        <f t="shared" si="0"/>
        <v>0</v>
      </c>
      <c r="L91" s="486">
        <f t="shared" si="0"/>
        <v>0</v>
      </c>
      <c r="M91" s="486">
        <f t="shared" si="0"/>
        <v>0</v>
      </c>
      <c r="N91" s="486">
        <f t="shared" si="0"/>
        <v>0</v>
      </c>
      <c r="O91" s="486">
        <f t="shared" si="0"/>
        <v>0</v>
      </c>
      <c r="P91" s="486">
        <f t="shared" si="0"/>
        <v>0</v>
      </c>
      <c r="Q91" s="486">
        <f t="shared" si="0"/>
        <v>0</v>
      </c>
      <c r="R91" s="486">
        <f t="shared" si="0"/>
        <v>0</v>
      </c>
      <c r="S91" s="486">
        <f t="shared" si="0"/>
        <v>0</v>
      </c>
      <c r="T91" s="486">
        <f t="shared" si="0"/>
        <v>0</v>
      </c>
      <c r="U91" s="486">
        <f t="shared" si="0"/>
        <v>0</v>
      </c>
      <c r="V91" s="486">
        <f t="shared" si="0"/>
        <v>0</v>
      </c>
    </row>
    <row r="92" spans="2:22" ht="15.75" customHeight="1"/>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c r="B94" s="486"/>
      <c r="C94" s="486"/>
      <c r="D94" s="486"/>
      <c r="E94" s="486"/>
      <c r="F94" s="486"/>
      <c r="G94" s="486"/>
      <c r="H94" s="486"/>
      <c r="I94" s="486"/>
      <c r="J94" s="486"/>
      <c r="K94" s="486"/>
      <c r="L94" s="486"/>
      <c r="M94" s="486"/>
      <c r="N94" s="486"/>
      <c r="O94" s="486"/>
      <c r="P94" s="486"/>
      <c r="Q94" s="486"/>
      <c r="R94" s="486"/>
      <c r="S94" s="486"/>
      <c r="T94" s="486"/>
      <c r="U94" s="486"/>
      <c r="V94" s="486"/>
    </row>
    <row r="95" spans="2:22" ht="15.75" customHeight="1">
      <c r="B95" s="486"/>
      <c r="C95" s="486"/>
      <c r="D95" s="486"/>
      <c r="E95" s="486"/>
      <c r="F95" s="486"/>
      <c r="G95" s="486"/>
      <c r="H95" s="486"/>
      <c r="I95" s="486"/>
      <c r="J95" s="486"/>
      <c r="K95" s="486"/>
      <c r="L95" s="486"/>
      <c r="M95" s="486"/>
      <c r="N95" s="486"/>
      <c r="O95" s="486"/>
      <c r="P95" s="486"/>
      <c r="Q95" s="486"/>
      <c r="R95" s="486"/>
      <c r="S95" s="486"/>
      <c r="T95" s="486"/>
      <c r="U95" s="486"/>
      <c r="V95" s="486"/>
    </row>
    <row r="96" spans="2:22" ht="15.75" customHeight="1">
      <c r="B96" s="486" t="s">
        <v>133</v>
      </c>
      <c r="C96" s="486"/>
      <c r="D96" s="486">
        <f>D94+D95</f>
        <v>0</v>
      </c>
      <c r="E96" s="486">
        <f t="shared" ref="E96:V96" si="1">E94+E95</f>
        <v>0</v>
      </c>
      <c r="F96" s="486">
        <f t="shared" si="1"/>
        <v>0</v>
      </c>
      <c r="G96" s="486">
        <f t="shared" si="1"/>
        <v>0</v>
      </c>
      <c r="H96" s="486">
        <f t="shared" si="1"/>
        <v>0</v>
      </c>
      <c r="I96" s="486">
        <f t="shared" si="1"/>
        <v>0</v>
      </c>
      <c r="J96" s="486">
        <f t="shared" si="1"/>
        <v>0</v>
      </c>
      <c r="K96" s="486">
        <f t="shared" si="1"/>
        <v>0</v>
      </c>
      <c r="L96" s="486">
        <f t="shared" si="1"/>
        <v>0</v>
      </c>
      <c r="M96" s="486">
        <f t="shared" si="1"/>
        <v>0</v>
      </c>
      <c r="N96" s="486">
        <f t="shared" si="1"/>
        <v>0</v>
      </c>
      <c r="O96" s="486">
        <f t="shared" si="1"/>
        <v>0</v>
      </c>
      <c r="P96" s="486">
        <f t="shared" si="1"/>
        <v>0</v>
      </c>
      <c r="Q96" s="486">
        <f t="shared" si="1"/>
        <v>0</v>
      </c>
      <c r="R96" s="486">
        <f t="shared" si="1"/>
        <v>0</v>
      </c>
      <c r="S96" s="486">
        <f t="shared" si="1"/>
        <v>0</v>
      </c>
      <c r="T96" s="486">
        <f t="shared" si="1"/>
        <v>0</v>
      </c>
      <c r="U96" s="486">
        <f t="shared" si="1"/>
        <v>0</v>
      </c>
      <c r="V96" s="486">
        <f t="shared" si="1"/>
        <v>0</v>
      </c>
    </row>
    <row r="97" spans="2:22" ht="15.75" customHeight="1"/>
    <row r="98" spans="2:22" ht="15.75" customHeight="1">
      <c r="B98" s="486" t="s">
        <v>529</v>
      </c>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c r="B99" s="486"/>
      <c r="C99" s="486"/>
      <c r="D99" s="486"/>
      <c r="E99" s="486"/>
      <c r="F99" s="486"/>
      <c r="G99" s="486"/>
      <c r="H99" s="486"/>
      <c r="I99" s="486"/>
      <c r="J99" s="486"/>
      <c r="K99" s="486"/>
      <c r="L99" s="486"/>
      <c r="M99" s="486"/>
      <c r="N99" s="486"/>
      <c r="O99" s="486"/>
      <c r="P99" s="486"/>
      <c r="Q99" s="486"/>
      <c r="R99" s="486"/>
      <c r="S99" s="486"/>
      <c r="T99" s="486"/>
      <c r="U99" s="486"/>
      <c r="V99" s="486"/>
    </row>
    <row r="100" spans="2:22" ht="15.75" customHeight="1">
      <c r="B100" s="486"/>
      <c r="C100" s="486"/>
      <c r="D100" s="486"/>
      <c r="E100" s="486"/>
      <c r="F100" s="486"/>
      <c r="G100" s="486"/>
      <c r="H100" s="486"/>
      <c r="I100" s="486"/>
      <c r="J100" s="486"/>
      <c r="K100" s="486"/>
      <c r="L100" s="486"/>
      <c r="M100" s="486"/>
      <c r="N100" s="486"/>
      <c r="O100" s="486"/>
      <c r="P100" s="486"/>
      <c r="Q100" s="486"/>
      <c r="R100" s="486"/>
      <c r="S100" s="486"/>
      <c r="T100" s="486"/>
      <c r="U100" s="486"/>
      <c r="V100" s="486"/>
    </row>
    <row r="101" spans="2:22" ht="15.75" customHeight="1">
      <c r="B101" s="486" t="s">
        <v>133</v>
      </c>
      <c r="C101" s="486"/>
      <c r="D101" s="486">
        <f>D99+D100</f>
        <v>0</v>
      </c>
      <c r="E101" s="486">
        <f t="shared" ref="E101:V101" si="2">E99+E100</f>
        <v>0</v>
      </c>
      <c r="F101" s="486">
        <f t="shared" si="2"/>
        <v>0</v>
      </c>
      <c r="G101" s="486">
        <f t="shared" si="2"/>
        <v>0</v>
      </c>
      <c r="H101" s="486">
        <f t="shared" si="2"/>
        <v>0</v>
      </c>
      <c r="I101" s="486">
        <f t="shared" si="2"/>
        <v>0</v>
      </c>
      <c r="J101" s="486">
        <f t="shared" si="2"/>
        <v>0</v>
      </c>
      <c r="K101" s="486">
        <f t="shared" si="2"/>
        <v>0</v>
      </c>
      <c r="L101" s="486">
        <f t="shared" si="2"/>
        <v>0</v>
      </c>
      <c r="M101" s="486">
        <f t="shared" si="2"/>
        <v>0</v>
      </c>
      <c r="N101" s="486">
        <f t="shared" si="2"/>
        <v>0</v>
      </c>
      <c r="O101" s="486">
        <f t="shared" si="2"/>
        <v>0</v>
      </c>
      <c r="P101" s="486">
        <f t="shared" si="2"/>
        <v>0</v>
      </c>
      <c r="Q101" s="486">
        <f t="shared" si="2"/>
        <v>0</v>
      </c>
      <c r="R101" s="486">
        <f t="shared" si="2"/>
        <v>0</v>
      </c>
      <c r="S101" s="486">
        <f t="shared" si="2"/>
        <v>0</v>
      </c>
      <c r="T101" s="486">
        <f t="shared" si="2"/>
        <v>0</v>
      </c>
      <c r="U101" s="486">
        <f t="shared" si="2"/>
        <v>0</v>
      </c>
      <c r="V101" s="486">
        <f t="shared" si="2"/>
        <v>0</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8">
    <mergeCell ref="B17:D17"/>
    <mergeCell ref="B18:D18"/>
    <mergeCell ref="B4:B5"/>
    <mergeCell ref="C4:R4"/>
    <mergeCell ref="B9:F9"/>
    <mergeCell ref="B10:E10"/>
    <mergeCell ref="B12:H13"/>
    <mergeCell ref="B15:D15"/>
  </mergeCells>
  <hyperlinks>
    <hyperlink ref="B9" r:id="rId1" xr:uid="{B24A93C8-CCA0-4FB6-A86D-BA1205CF403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F991C-4FEA-4384-8476-1E6067ED3918}">
  <sheetPr>
    <tabColor theme="4" tint="0.59999389629810485"/>
    <outlinePr summaryBelow="0" summaryRight="0"/>
  </sheetPr>
  <dimension ref="B1:V1000"/>
  <sheetViews>
    <sheetView topLeftCell="A85" workbookViewId="0">
      <selection activeCell="B104" sqref="B104"/>
    </sheetView>
  </sheetViews>
  <sheetFormatPr defaultColWidth="12.6640625" defaultRowHeight="15" customHeight="1"/>
  <cols>
    <col min="1" max="1" width="12.6640625" style="10" customWidth="1"/>
    <col min="2" max="2" width="56.44140625" style="10" customWidth="1"/>
    <col min="3" max="3" width="26.77734375" style="10" customWidth="1"/>
    <col min="4" max="6" width="12.6640625" style="10" customWidth="1"/>
    <col min="7" max="16384" width="12.6640625" style="10"/>
  </cols>
  <sheetData>
    <row r="1" spans="2:4" ht="15.75" customHeight="1"/>
    <row r="2" spans="2:4" ht="15.75" customHeight="1">
      <c r="B2" s="733" t="s">
        <v>311</v>
      </c>
      <c r="C2" s="688"/>
    </row>
    <row r="3" spans="2:4" ht="15.75" customHeight="1">
      <c r="B3" s="348"/>
      <c r="C3" s="306"/>
    </row>
    <row r="4" spans="2:4" ht="15.75" customHeight="1">
      <c r="B4" s="307" t="s">
        <v>238</v>
      </c>
      <c r="C4" s="308" t="s">
        <v>239</v>
      </c>
    </row>
    <row r="5" spans="2:4" ht="15.75" customHeight="1">
      <c r="B5" s="309" t="s">
        <v>240</v>
      </c>
      <c r="C5" s="310">
        <v>0.55000000000000004</v>
      </c>
    </row>
    <row r="6" spans="2:4" ht="15.75" customHeight="1">
      <c r="B6" s="309" t="s">
        <v>14</v>
      </c>
      <c r="C6" s="310">
        <v>3</v>
      </c>
    </row>
    <row r="7" spans="2:4" ht="15.75" customHeight="1">
      <c r="B7" s="309" t="s">
        <v>241</v>
      </c>
      <c r="C7" s="310">
        <v>2.5</v>
      </c>
    </row>
    <row r="8" spans="2:4" ht="15.75" customHeight="1">
      <c r="B8" s="309" t="s">
        <v>242</v>
      </c>
      <c r="C8" s="310">
        <v>9</v>
      </c>
    </row>
    <row r="9" spans="2:4" ht="15.75" customHeight="1">
      <c r="B9" s="309" t="s">
        <v>15</v>
      </c>
      <c r="C9" s="310">
        <v>1</v>
      </c>
    </row>
    <row r="10" spans="2:4" ht="15.75" customHeight="1">
      <c r="B10" s="311" t="s">
        <v>16</v>
      </c>
      <c r="C10" s="312">
        <v>2.2400000000000002</v>
      </c>
      <c r="D10" s="56" t="s">
        <v>312</v>
      </c>
    </row>
    <row r="11" spans="2:4" ht="15.75" customHeight="1">
      <c r="B11" s="309" t="s">
        <v>17</v>
      </c>
      <c r="C11" s="310">
        <v>5</v>
      </c>
    </row>
    <row r="12" spans="2:4" ht="15.75" customHeight="1">
      <c r="B12" s="309" t="s">
        <v>18</v>
      </c>
      <c r="C12" s="310">
        <v>5.9</v>
      </c>
    </row>
    <row r="13" spans="2:4" ht="15.75" customHeight="1">
      <c r="B13" s="309" t="s">
        <v>19</v>
      </c>
      <c r="C13" s="310">
        <v>6.12</v>
      </c>
    </row>
    <row r="14" spans="2:4" ht="15.75" customHeight="1">
      <c r="B14" s="309" t="s">
        <v>20</v>
      </c>
      <c r="C14" s="310">
        <v>3.1</v>
      </c>
    </row>
    <row r="15" spans="2:4" ht="15.75" customHeight="1">
      <c r="B15" s="313" t="s">
        <v>243</v>
      </c>
      <c r="C15" s="314">
        <v>2.5</v>
      </c>
    </row>
    <row r="16" spans="2:4" ht="15.75" customHeight="1"/>
    <row r="17" spans="2:22" ht="15.75" customHeight="1">
      <c r="B17" s="315" t="s">
        <v>244</v>
      </c>
      <c r="C17" s="316" t="s">
        <v>313</v>
      </c>
      <c r="D17" s="316">
        <v>2005</v>
      </c>
      <c r="E17" s="316">
        <v>2006</v>
      </c>
      <c r="F17" s="316">
        <v>2007</v>
      </c>
      <c r="G17" s="316">
        <v>2008</v>
      </c>
      <c r="H17" s="316">
        <v>2009</v>
      </c>
      <c r="I17" s="316">
        <v>2010</v>
      </c>
      <c r="J17" s="316">
        <v>2011</v>
      </c>
      <c r="K17" s="316">
        <v>2012</v>
      </c>
      <c r="L17" s="316">
        <v>2013</v>
      </c>
      <c r="M17" s="316">
        <v>2014</v>
      </c>
      <c r="N17" s="316">
        <v>2015</v>
      </c>
      <c r="O17" s="316">
        <v>2016</v>
      </c>
      <c r="P17" s="316">
        <v>2017</v>
      </c>
      <c r="Q17" s="316">
        <v>2018</v>
      </c>
      <c r="R17" s="317">
        <v>2019</v>
      </c>
      <c r="S17" s="317">
        <v>2020</v>
      </c>
      <c r="T17" s="317">
        <v>2021</v>
      </c>
      <c r="U17" s="367">
        <v>2022</v>
      </c>
      <c r="V17" s="367">
        <v>2023</v>
      </c>
    </row>
    <row r="18" spans="2:22" ht="15.75" customHeight="1">
      <c r="B18" s="319" t="s">
        <v>0</v>
      </c>
      <c r="C18" s="320" t="s">
        <v>245</v>
      </c>
      <c r="D18" s="356">
        <f>(('State production dairy'!D5*0.25)+('State production dairy'!E5*0.75))</f>
        <v>3245028.4849999999</v>
      </c>
      <c r="E18" s="356">
        <f>(('State production dairy'!E5*0.25)+('State production dairy'!F5*0.75))</f>
        <v>3245028.4849999999</v>
      </c>
      <c r="F18" s="356">
        <f>(('State production dairy'!F5*0.25)+('State production dairy'!G5*0.75))</f>
        <v>3245028.4849999999</v>
      </c>
      <c r="G18" s="356">
        <f>(('State production dairy'!G5*0.25)+('State production dairy'!H5*0.75))</f>
        <v>3245028.4849999999</v>
      </c>
      <c r="H18" s="356">
        <f>(('State production dairy'!H5*0.25)+('State production dairy'!I5*0.75))</f>
        <v>3245028.4849999999</v>
      </c>
      <c r="I18" s="356">
        <f>(('State production dairy'!I5*0.25)+('State production dairy'!J5*0.75))</f>
        <v>3245028.4849999999</v>
      </c>
      <c r="J18" s="356">
        <f>(('State production dairy'!J5*0.25)+('State production dairy'!K5*0.75))</f>
        <v>3245028.4849999999</v>
      </c>
      <c r="K18" s="356">
        <f>(('State production dairy'!K5*0.25)+('State production dairy'!L5*0.75))</f>
        <v>3245028.4849999999</v>
      </c>
      <c r="L18" s="356">
        <f>(('State production dairy'!L5*0.25)+('State production dairy'!M5*0.75))</f>
        <v>3245028.4849999999</v>
      </c>
      <c r="M18" s="356">
        <f>(('State production dairy'!M5*0.25)+('State production dairy'!N5*0.75))</f>
        <v>3245028.4849999999</v>
      </c>
      <c r="N18" s="356">
        <f>(('State production dairy'!N5*0.25)+('State production dairy'!O5*0.75))</f>
        <v>3245028.4849999999</v>
      </c>
      <c r="O18" s="356">
        <f>(('State production dairy'!O5*0.25)+('State production dairy'!P5*0.75))</f>
        <v>3245028.4849999999</v>
      </c>
      <c r="P18" s="356">
        <f>(('State production dairy'!P5*0.25)+('State production dairy'!Q5*0.75))</f>
        <v>3245028.4849999999</v>
      </c>
      <c r="Q18" s="356">
        <f>(('State production dairy'!Q5*0.25)+('State production dairy'!R5*0.75))</f>
        <v>3245028.4849999999</v>
      </c>
      <c r="R18" s="356">
        <f>(('State production dairy'!R5*0.25)+('State production dairy'!S5*0.75))</f>
        <v>3245028.4849999999</v>
      </c>
      <c r="S18" s="356">
        <f>(('State production dairy'!S5*0.25)+('State production dairy'!T5*0.75))</f>
        <v>3245028.4849999999</v>
      </c>
      <c r="T18" s="356">
        <f>(('State production dairy'!T5*0.25)+('State production dairy'!U5*0.75))</f>
        <v>3245028.4849999999</v>
      </c>
      <c r="U18" s="356">
        <f>(('State production dairy'!U5*0.25)+('State production dairy'!V5*0.75))</f>
        <v>3245028.4849999999</v>
      </c>
      <c r="V18" s="356">
        <f>(('State production dairy'!V5*0.25)+('State production dairy'!W5*0.75))</f>
        <v>3245028.4849999999</v>
      </c>
    </row>
    <row r="19" spans="2:22" ht="15.75" customHeight="1">
      <c r="B19" s="352"/>
      <c r="C19" s="320"/>
      <c r="D19" s="326"/>
      <c r="E19" s="326"/>
      <c r="F19" s="326"/>
      <c r="G19" s="326"/>
      <c r="H19" s="326"/>
      <c r="I19" s="326"/>
      <c r="J19" s="326"/>
      <c r="K19" s="326"/>
      <c r="L19" s="326"/>
      <c r="M19" s="326"/>
      <c r="N19" s="326"/>
      <c r="O19" s="326"/>
      <c r="P19" s="326"/>
      <c r="Q19" s="326"/>
      <c r="R19" s="75"/>
      <c r="S19" s="75"/>
      <c r="T19" s="75"/>
    </row>
    <row r="20" spans="2:22" ht="15.75" customHeight="1">
      <c r="B20" s="55"/>
      <c r="C20" s="55"/>
      <c r="D20" s="55"/>
      <c r="E20" s="55"/>
      <c r="F20" s="55"/>
      <c r="G20" s="55"/>
      <c r="H20" s="55"/>
      <c r="I20" s="55"/>
      <c r="J20" s="55"/>
      <c r="K20" s="55"/>
      <c r="L20" s="55"/>
      <c r="M20" s="55"/>
      <c r="N20" s="55"/>
      <c r="O20" s="55"/>
      <c r="P20" s="55"/>
      <c r="Q20" s="55"/>
      <c r="R20" s="55"/>
      <c r="S20" s="55"/>
      <c r="T20" s="55"/>
      <c r="U20" s="55"/>
    </row>
    <row r="21" spans="2:22" ht="15.75" customHeight="1">
      <c r="B21" s="317" t="s">
        <v>291</v>
      </c>
      <c r="C21" s="317" t="s">
        <v>314</v>
      </c>
      <c r="D21" s="368">
        <v>2005</v>
      </c>
      <c r="E21" s="368">
        <v>2006</v>
      </c>
      <c r="F21" s="368">
        <v>2007</v>
      </c>
      <c r="G21" s="368">
        <v>2008</v>
      </c>
      <c r="H21" s="368">
        <v>2009</v>
      </c>
      <c r="I21" s="368">
        <v>2010</v>
      </c>
      <c r="J21" s="368">
        <v>2011</v>
      </c>
      <c r="K21" s="368">
        <v>2012</v>
      </c>
      <c r="L21" s="368">
        <v>2013</v>
      </c>
      <c r="M21" s="368">
        <v>2014</v>
      </c>
      <c r="N21" s="368">
        <v>2015</v>
      </c>
      <c r="O21" s="368">
        <v>2016</v>
      </c>
      <c r="P21" s="368">
        <v>2017</v>
      </c>
      <c r="Q21" s="368">
        <v>2018</v>
      </c>
      <c r="R21" s="344">
        <v>2019</v>
      </c>
      <c r="S21" s="344">
        <v>2020</v>
      </c>
      <c r="T21" s="344">
        <v>2021</v>
      </c>
      <c r="U21" s="367">
        <v>2022</v>
      </c>
      <c r="V21" s="367">
        <v>2023</v>
      </c>
    </row>
    <row r="22" spans="2:22" ht="15.75" customHeight="1">
      <c r="B22" s="152" t="s">
        <v>0</v>
      </c>
      <c r="C22" s="152"/>
      <c r="D22" s="79">
        <f t="shared" ref="D22:V22" si="0">D18/365</f>
        <v>8890.4889999999996</v>
      </c>
      <c r="E22" s="79">
        <f t="shared" si="0"/>
        <v>8890.4889999999996</v>
      </c>
      <c r="F22" s="79">
        <f t="shared" si="0"/>
        <v>8890.4889999999996</v>
      </c>
      <c r="G22" s="79">
        <f t="shared" si="0"/>
        <v>8890.4889999999996</v>
      </c>
      <c r="H22" s="79">
        <f t="shared" si="0"/>
        <v>8890.4889999999996</v>
      </c>
      <c r="I22" s="79">
        <f t="shared" si="0"/>
        <v>8890.4889999999996</v>
      </c>
      <c r="J22" s="79">
        <f t="shared" si="0"/>
        <v>8890.4889999999996</v>
      </c>
      <c r="K22" s="79">
        <f t="shared" si="0"/>
        <v>8890.4889999999996</v>
      </c>
      <c r="L22" s="79">
        <f t="shared" si="0"/>
        <v>8890.4889999999996</v>
      </c>
      <c r="M22" s="79">
        <f t="shared" si="0"/>
        <v>8890.4889999999996</v>
      </c>
      <c r="N22" s="79">
        <f t="shared" si="0"/>
        <v>8890.4889999999996</v>
      </c>
      <c r="O22" s="79">
        <f t="shared" si="0"/>
        <v>8890.4889999999996</v>
      </c>
      <c r="P22" s="79">
        <f t="shared" si="0"/>
        <v>8890.4889999999996</v>
      </c>
      <c r="Q22" s="79">
        <f t="shared" si="0"/>
        <v>8890.4889999999996</v>
      </c>
      <c r="R22" s="79">
        <f t="shared" si="0"/>
        <v>8890.4889999999996</v>
      </c>
      <c r="S22" s="79">
        <f t="shared" si="0"/>
        <v>8890.4889999999996</v>
      </c>
      <c r="T22" s="79">
        <f t="shared" si="0"/>
        <v>8890.4889999999996</v>
      </c>
      <c r="U22" s="79">
        <f t="shared" si="0"/>
        <v>8890.4889999999996</v>
      </c>
      <c r="V22" s="79">
        <f t="shared" si="0"/>
        <v>8890.4889999999996</v>
      </c>
    </row>
    <row r="23" spans="2:22" ht="15.75" customHeight="1">
      <c r="B23" s="55"/>
      <c r="C23" s="55"/>
      <c r="D23" s="55"/>
      <c r="E23" s="55"/>
      <c r="F23" s="55"/>
      <c r="G23" s="55"/>
      <c r="H23" s="55"/>
      <c r="I23" s="55"/>
      <c r="J23" s="55"/>
      <c r="K23" s="55"/>
      <c r="L23" s="55"/>
      <c r="M23" s="55"/>
      <c r="N23" s="55"/>
      <c r="O23" s="55"/>
      <c r="P23" s="55"/>
      <c r="Q23" s="55"/>
      <c r="R23" s="55"/>
      <c r="S23" s="55"/>
      <c r="T23" s="55"/>
      <c r="U23" s="55"/>
    </row>
    <row r="24" spans="2:22" ht="15.75" customHeight="1">
      <c r="B24" s="79" t="s">
        <v>293</v>
      </c>
      <c r="C24" s="79">
        <v>2.5384799999999998</v>
      </c>
      <c r="D24" s="79" t="s">
        <v>248</v>
      </c>
      <c r="E24" s="79">
        <f>C24*10^6</f>
        <v>2538480</v>
      </c>
      <c r="F24" s="79" t="s">
        <v>249</v>
      </c>
      <c r="G24" s="55"/>
      <c r="H24" s="55"/>
      <c r="I24" s="55"/>
      <c r="J24" s="55"/>
      <c r="K24" s="55"/>
      <c r="L24" s="55"/>
      <c r="M24" s="55"/>
      <c r="N24" s="55"/>
      <c r="O24" s="55"/>
      <c r="P24" s="55"/>
      <c r="Q24" s="55"/>
      <c r="R24" s="55"/>
      <c r="S24" s="55"/>
      <c r="T24" s="55"/>
      <c r="U24" s="55"/>
    </row>
    <row r="25" spans="2:22" ht="15.75" customHeight="1">
      <c r="B25" s="55"/>
      <c r="C25" s="55"/>
      <c r="D25" s="55"/>
      <c r="E25" s="55"/>
      <c r="F25" s="55"/>
      <c r="G25" s="55"/>
      <c r="H25" s="55"/>
      <c r="I25" s="55"/>
      <c r="J25" s="55"/>
      <c r="K25" s="55"/>
      <c r="L25" s="55"/>
      <c r="M25" s="55"/>
      <c r="N25" s="55"/>
      <c r="O25" s="55"/>
      <c r="P25" s="55"/>
      <c r="Q25" s="55"/>
      <c r="R25" s="55"/>
      <c r="S25" s="55"/>
      <c r="T25" s="55"/>
      <c r="U25" s="55"/>
    </row>
    <row r="26" spans="2:22" ht="15.75" customHeight="1">
      <c r="B26" s="152" t="s">
        <v>250</v>
      </c>
      <c r="C26" s="369">
        <f>(E24/S22)/1000</f>
        <v>0.28552760146264172</v>
      </c>
      <c r="D26" s="55"/>
      <c r="E26" s="55"/>
      <c r="F26" s="55"/>
      <c r="G26" s="55"/>
      <c r="H26" s="55"/>
      <c r="I26" s="55"/>
      <c r="J26" s="55"/>
      <c r="K26" s="55"/>
      <c r="L26" s="55"/>
      <c r="M26" s="55"/>
      <c r="N26" s="55"/>
      <c r="O26" s="55"/>
      <c r="P26" s="55"/>
      <c r="Q26" s="55"/>
      <c r="R26" s="55"/>
      <c r="S26" s="55"/>
      <c r="T26" s="55"/>
      <c r="U26" s="55"/>
    </row>
    <row r="27" spans="2:22" ht="15.75" customHeight="1">
      <c r="B27" s="55"/>
      <c r="C27" s="55"/>
      <c r="D27" s="55"/>
      <c r="E27" s="55"/>
      <c r="F27" s="55"/>
      <c r="G27" s="55"/>
      <c r="H27" s="55"/>
      <c r="I27" s="55"/>
      <c r="J27" s="55"/>
      <c r="K27" s="55"/>
      <c r="L27" s="55"/>
      <c r="M27" s="55"/>
      <c r="N27" s="55"/>
      <c r="O27" s="55"/>
      <c r="P27" s="55"/>
      <c r="Q27" s="55"/>
      <c r="R27" s="55"/>
      <c r="S27" s="55"/>
      <c r="T27" s="55"/>
      <c r="U27" s="55"/>
    </row>
    <row r="28" spans="2:22" ht="15.75" customHeight="1">
      <c r="B28" s="55"/>
      <c r="C28" s="55"/>
      <c r="D28" s="55"/>
      <c r="E28" s="55"/>
      <c r="F28" s="55"/>
      <c r="G28" s="55"/>
      <c r="H28" s="55"/>
      <c r="I28" s="55"/>
      <c r="J28" s="55"/>
      <c r="K28" s="55"/>
      <c r="L28" s="55"/>
      <c r="M28" s="55"/>
      <c r="N28" s="55"/>
      <c r="O28" s="55"/>
      <c r="P28" s="55"/>
      <c r="Q28" s="55"/>
      <c r="R28" s="55"/>
      <c r="S28" s="55"/>
      <c r="T28" s="55"/>
      <c r="U28" s="55"/>
    </row>
    <row r="29" spans="2:22" ht="15.75" customHeight="1">
      <c r="B29" s="55"/>
      <c r="C29" s="55"/>
      <c r="D29" s="55"/>
      <c r="E29" s="55"/>
      <c r="F29" s="55"/>
      <c r="G29" s="55"/>
      <c r="H29" s="55"/>
      <c r="I29" s="55"/>
      <c r="J29" s="55"/>
      <c r="K29" s="55"/>
      <c r="L29" s="55"/>
      <c r="M29" s="55"/>
      <c r="N29" s="55"/>
      <c r="O29" s="55"/>
      <c r="P29" s="55"/>
      <c r="Q29" s="55"/>
      <c r="R29" s="55"/>
      <c r="S29" s="55"/>
      <c r="T29" s="55"/>
      <c r="U29" s="55"/>
    </row>
    <row r="30" spans="2:22" ht="15.75" customHeight="1">
      <c r="B30" s="55"/>
      <c r="C30" s="55"/>
      <c r="D30" s="55"/>
      <c r="E30" s="55"/>
      <c r="F30" s="55"/>
      <c r="G30" s="55"/>
      <c r="H30" s="55"/>
      <c r="I30" s="55"/>
      <c r="J30" s="55"/>
      <c r="K30" s="55"/>
      <c r="L30" s="55"/>
      <c r="M30" s="55"/>
      <c r="N30" s="55"/>
      <c r="O30" s="55"/>
      <c r="P30" s="55"/>
      <c r="Q30" s="55"/>
      <c r="R30" s="55"/>
      <c r="S30" s="55"/>
      <c r="T30" s="55"/>
      <c r="U30" s="55"/>
    </row>
    <row r="31" spans="2:22" ht="15.75" customHeight="1">
      <c r="B31" s="317" t="s">
        <v>251</v>
      </c>
      <c r="C31" s="317" t="s">
        <v>252</v>
      </c>
      <c r="D31" s="317">
        <v>2005</v>
      </c>
      <c r="E31" s="317">
        <v>2006</v>
      </c>
      <c r="F31" s="317">
        <v>2007</v>
      </c>
      <c r="G31" s="317">
        <v>2008</v>
      </c>
      <c r="H31" s="317">
        <v>2009</v>
      </c>
      <c r="I31" s="317">
        <v>2010</v>
      </c>
      <c r="J31" s="317">
        <v>2011</v>
      </c>
      <c r="K31" s="317">
        <v>2012</v>
      </c>
      <c r="L31" s="317">
        <v>2013</v>
      </c>
      <c r="M31" s="317">
        <v>2014</v>
      </c>
      <c r="N31" s="317">
        <v>2015</v>
      </c>
      <c r="O31" s="317">
        <v>2016</v>
      </c>
      <c r="P31" s="317">
        <v>2017</v>
      </c>
      <c r="Q31" s="317">
        <v>2018</v>
      </c>
      <c r="R31" s="317">
        <v>2019</v>
      </c>
      <c r="S31" s="317">
        <v>2020</v>
      </c>
      <c r="T31" s="317">
        <v>2021</v>
      </c>
      <c r="U31" s="367">
        <v>2022</v>
      </c>
      <c r="V31" s="367">
        <v>2023</v>
      </c>
    </row>
    <row r="32" spans="2:22" ht="15.75" customHeight="1">
      <c r="B32" s="79" t="s">
        <v>315</v>
      </c>
      <c r="C32" s="79" t="s">
        <v>253</v>
      </c>
      <c r="D32" s="75">
        <f t="shared" ref="D32:V32" si="1">$C$26</f>
        <v>0.28552760146264172</v>
      </c>
      <c r="E32" s="75">
        <f t="shared" si="1"/>
        <v>0.28552760146264172</v>
      </c>
      <c r="F32" s="75">
        <f t="shared" si="1"/>
        <v>0.28552760146264172</v>
      </c>
      <c r="G32" s="75">
        <f t="shared" si="1"/>
        <v>0.28552760146264172</v>
      </c>
      <c r="H32" s="75">
        <f t="shared" si="1"/>
        <v>0.28552760146264172</v>
      </c>
      <c r="I32" s="75">
        <f t="shared" si="1"/>
        <v>0.28552760146264172</v>
      </c>
      <c r="J32" s="75">
        <f t="shared" si="1"/>
        <v>0.28552760146264172</v>
      </c>
      <c r="K32" s="75">
        <f t="shared" si="1"/>
        <v>0.28552760146264172</v>
      </c>
      <c r="L32" s="75">
        <f t="shared" si="1"/>
        <v>0.28552760146264172</v>
      </c>
      <c r="M32" s="75">
        <f t="shared" si="1"/>
        <v>0.28552760146264172</v>
      </c>
      <c r="N32" s="75">
        <f t="shared" si="1"/>
        <v>0.28552760146264172</v>
      </c>
      <c r="O32" s="75">
        <f t="shared" si="1"/>
        <v>0.28552760146264172</v>
      </c>
      <c r="P32" s="75">
        <f t="shared" si="1"/>
        <v>0.28552760146264172</v>
      </c>
      <c r="Q32" s="75">
        <f t="shared" si="1"/>
        <v>0.28552760146264172</v>
      </c>
      <c r="R32" s="75">
        <f t="shared" si="1"/>
        <v>0.28552760146264172</v>
      </c>
      <c r="S32" s="75">
        <f t="shared" si="1"/>
        <v>0.28552760146264172</v>
      </c>
      <c r="T32" s="75">
        <f t="shared" si="1"/>
        <v>0.28552760146264172</v>
      </c>
      <c r="U32" s="75">
        <f t="shared" si="1"/>
        <v>0.28552760146264172</v>
      </c>
      <c r="V32" s="75">
        <f t="shared" si="1"/>
        <v>0.28552760146264172</v>
      </c>
    </row>
    <row r="33" spans="2:22" ht="15.75" customHeight="1"/>
    <row r="34" spans="2:22" ht="15.75" customHeight="1">
      <c r="B34" s="315" t="s">
        <v>254</v>
      </c>
      <c r="C34" s="316" t="s">
        <v>255</v>
      </c>
      <c r="D34" s="316">
        <v>2005</v>
      </c>
      <c r="E34" s="316">
        <v>2006</v>
      </c>
      <c r="F34" s="316">
        <v>2007</v>
      </c>
      <c r="G34" s="316">
        <v>2008</v>
      </c>
      <c r="H34" s="316">
        <v>2009</v>
      </c>
      <c r="I34" s="316">
        <v>2010</v>
      </c>
      <c r="J34" s="316">
        <v>2011</v>
      </c>
      <c r="K34" s="316">
        <v>2012</v>
      </c>
      <c r="L34" s="316">
        <v>2013</v>
      </c>
      <c r="M34" s="316">
        <v>2014</v>
      </c>
      <c r="N34" s="316">
        <v>2015</v>
      </c>
      <c r="O34" s="316">
        <v>2016</v>
      </c>
      <c r="P34" s="316">
        <v>2017</v>
      </c>
      <c r="Q34" s="316">
        <v>2018</v>
      </c>
      <c r="R34" s="317">
        <v>2019</v>
      </c>
      <c r="S34" s="317">
        <v>2020</v>
      </c>
      <c r="T34" s="317">
        <v>2021</v>
      </c>
      <c r="U34" s="367">
        <v>2022</v>
      </c>
      <c r="V34" s="367">
        <v>2023</v>
      </c>
    </row>
    <row r="35" spans="2:22" ht="15.75" customHeight="1">
      <c r="B35" s="319"/>
      <c r="C35" s="320"/>
      <c r="D35" s="351"/>
      <c r="E35" s="351"/>
      <c r="F35" s="351"/>
      <c r="G35" s="351"/>
      <c r="H35" s="351"/>
      <c r="I35" s="351"/>
      <c r="J35" s="351"/>
      <c r="K35" s="350"/>
      <c r="L35" s="350"/>
      <c r="M35" s="350"/>
      <c r="N35" s="351"/>
      <c r="O35" s="326"/>
      <c r="P35" s="326"/>
      <c r="Q35" s="326"/>
      <c r="R35" s="79"/>
      <c r="S35" s="79"/>
      <c r="T35" s="79"/>
    </row>
    <row r="36" spans="2:22" ht="15.75" customHeight="1">
      <c r="B36" s="370" t="s">
        <v>0</v>
      </c>
      <c r="C36" s="320"/>
      <c r="D36" s="326">
        <f t="shared" ref="D36:V36" si="2">D18*D32*$C$10</f>
        <v>2075461.2480000004</v>
      </c>
      <c r="E36" s="326">
        <f t="shared" si="2"/>
        <v>2075461.2480000004</v>
      </c>
      <c r="F36" s="326">
        <f t="shared" si="2"/>
        <v>2075461.2480000004</v>
      </c>
      <c r="G36" s="326">
        <f t="shared" si="2"/>
        <v>2075461.2480000004</v>
      </c>
      <c r="H36" s="326">
        <f t="shared" si="2"/>
        <v>2075461.2480000004</v>
      </c>
      <c r="I36" s="326">
        <f t="shared" si="2"/>
        <v>2075461.2480000004</v>
      </c>
      <c r="J36" s="326">
        <f t="shared" si="2"/>
        <v>2075461.2480000004</v>
      </c>
      <c r="K36" s="326">
        <f t="shared" si="2"/>
        <v>2075461.2480000004</v>
      </c>
      <c r="L36" s="326">
        <f t="shared" si="2"/>
        <v>2075461.2480000004</v>
      </c>
      <c r="M36" s="326">
        <f t="shared" si="2"/>
        <v>2075461.2480000004</v>
      </c>
      <c r="N36" s="326">
        <f t="shared" si="2"/>
        <v>2075461.2480000004</v>
      </c>
      <c r="O36" s="326">
        <f t="shared" si="2"/>
        <v>2075461.2480000004</v>
      </c>
      <c r="P36" s="326">
        <f t="shared" si="2"/>
        <v>2075461.2480000004</v>
      </c>
      <c r="Q36" s="326">
        <f t="shared" si="2"/>
        <v>2075461.2480000004</v>
      </c>
      <c r="R36" s="326">
        <f t="shared" si="2"/>
        <v>2075461.2480000004</v>
      </c>
      <c r="S36" s="326">
        <f t="shared" si="2"/>
        <v>2075461.2480000004</v>
      </c>
      <c r="T36" s="326">
        <f t="shared" si="2"/>
        <v>2075461.2480000004</v>
      </c>
      <c r="U36" s="326">
        <f t="shared" si="2"/>
        <v>2075461.2480000004</v>
      </c>
      <c r="V36" s="326">
        <f t="shared" si="2"/>
        <v>2075461.2480000004</v>
      </c>
    </row>
    <row r="37" spans="2:22" ht="15.75" customHeight="1">
      <c r="B37" s="371"/>
      <c r="C37" s="361"/>
      <c r="D37" s="341"/>
      <c r="E37" s="341"/>
      <c r="F37" s="341"/>
      <c r="G37" s="341"/>
      <c r="H37" s="341"/>
      <c r="I37" s="341"/>
      <c r="J37" s="341"/>
      <c r="K37" s="341"/>
      <c r="L37" s="341"/>
      <c r="M37" s="341"/>
      <c r="N37" s="341"/>
      <c r="O37" s="341"/>
      <c r="P37" s="341"/>
      <c r="Q37" s="341"/>
    </row>
    <row r="38" spans="2:22" ht="15.75" customHeight="1">
      <c r="B38" s="307" t="s">
        <v>256</v>
      </c>
      <c r="C38" s="308" t="s">
        <v>257</v>
      </c>
      <c r="D38" s="341"/>
      <c r="E38" s="341"/>
      <c r="F38" s="341"/>
      <c r="G38" s="341"/>
      <c r="H38" s="341"/>
      <c r="I38" s="341"/>
      <c r="J38" s="341"/>
      <c r="K38" s="341"/>
      <c r="L38" s="341"/>
      <c r="M38" s="341"/>
      <c r="N38" s="341"/>
      <c r="O38" s="341"/>
      <c r="P38" s="341"/>
      <c r="Q38" s="341"/>
    </row>
    <row r="39" spans="2:22" ht="15.75" customHeight="1">
      <c r="B39" s="328" t="s">
        <v>258</v>
      </c>
      <c r="C39" s="329">
        <v>0.1</v>
      </c>
      <c r="D39" s="341"/>
      <c r="E39" s="341"/>
      <c r="F39" s="341"/>
      <c r="G39" s="341"/>
      <c r="H39" s="341"/>
      <c r="I39" s="341"/>
      <c r="J39" s="341"/>
      <c r="K39" s="341"/>
      <c r="L39" s="341"/>
      <c r="M39" s="341"/>
      <c r="N39" s="341"/>
      <c r="O39" s="341"/>
      <c r="P39" s="341"/>
      <c r="Q39" s="341"/>
    </row>
    <row r="40" spans="2:22" ht="15.75" customHeight="1">
      <c r="B40" s="328" t="s">
        <v>259</v>
      </c>
      <c r="C40" s="329">
        <v>0</v>
      </c>
      <c r="D40" s="341"/>
      <c r="E40" s="341"/>
      <c r="F40" s="341"/>
      <c r="G40" s="341"/>
      <c r="H40" s="341"/>
      <c r="I40" s="341"/>
      <c r="J40" s="341"/>
      <c r="K40" s="341"/>
      <c r="L40" s="341"/>
      <c r="M40" s="341"/>
      <c r="N40" s="341"/>
      <c r="O40" s="341"/>
      <c r="P40" s="341"/>
      <c r="Q40" s="341"/>
    </row>
    <row r="41" spans="2:22" ht="15.75" customHeight="1">
      <c r="B41" s="328" t="s">
        <v>260</v>
      </c>
      <c r="C41" s="329">
        <v>0.3</v>
      </c>
      <c r="D41" s="56" t="s">
        <v>296</v>
      </c>
    </row>
    <row r="42" spans="2:22" ht="15.75" customHeight="1">
      <c r="B42" s="328" t="s">
        <v>261</v>
      </c>
      <c r="C42" s="329">
        <v>0.8</v>
      </c>
    </row>
    <row r="43" spans="2:22" ht="15.75" customHeight="1">
      <c r="B43" s="328" t="s">
        <v>262</v>
      </c>
      <c r="C43" s="329">
        <v>0.8</v>
      </c>
    </row>
    <row r="44" spans="2:22" ht="15.75" customHeight="1">
      <c r="B44" s="328" t="s">
        <v>263</v>
      </c>
      <c r="C44" s="329">
        <v>0.2</v>
      </c>
    </row>
    <row r="45" spans="2:22" ht="15.75" customHeight="1">
      <c r="B45" s="330" t="s">
        <v>264</v>
      </c>
      <c r="C45" s="331">
        <v>0.8</v>
      </c>
    </row>
    <row r="46" spans="2:22" ht="15.75" customHeight="1"/>
    <row r="47" spans="2:22" ht="15.75" customHeight="1">
      <c r="B47" s="730" t="s">
        <v>265</v>
      </c>
      <c r="C47" s="667"/>
    </row>
    <row r="48" spans="2:22" ht="15.75" customHeight="1">
      <c r="B48" s="309" t="s">
        <v>240</v>
      </c>
      <c r="C48" s="310">
        <f>C40</f>
        <v>0</v>
      </c>
    </row>
    <row r="49" spans="2:4" ht="15.75" customHeight="1">
      <c r="B49" s="309" t="s">
        <v>14</v>
      </c>
      <c r="C49" s="310">
        <f>C41</f>
        <v>0.3</v>
      </c>
    </row>
    <row r="50" spans="2:4" ht="15.75" customHeight="1">
      <c r="B50" s="309" t="s">
        <v>241</v>
      </c>
      <c r="C50" s="310">
        <f>C45+C40</f>
        <v>0.8</v>
      </c>
    </row>
    <row r="51" spans="2:4" ht="15.75" customHeight="1">
      <c r="B51" s="309" t="s">
        <v>242</v>
      </c>
      <c r="C51" s="310">
        <f>C45+C40</f>
        <v>0.8</v>
      </c>
    </row>
    <row r="52" spans="2:4" ht="15.75" customHeight="1">
      <c r="B52" s="309" t="s">
        <v>15</v>
      </c>
      <c r="C52" s="310">
        <f>C41</f>
        <v>0.3</v>
      </c>
    </row>
    <row r="53" spans="2:4" ht="15.75" customHeight="1">
      <c r="B53" s="311" t="s">
        <v>16</v>
      </c>
      <c r="C53" s="312">
        <f>C41+C44</f>
        <v>0.5</v>
      </c>
      <c r="D53" s="56" t="s">
        <v>316</v>
      </c>
    </row>
    <row r="54" spans="2:4" ht="15.75" customHeight="1">
      <c r="B54" s="309" t="s">
        <v>17</v>
      </c>
      <c r="C54" s="310">
        <f>C45+C40</f>
        <v>0.8</v>
      </c>
    </row>
    <row r="55" spans="2:4" ht="15.75" customHeight="1">
      <c r="B55" s="309" t="s">
        <v>18</v>
      </c>
      <c r="C55" s="310">
        <f>C45+C40</f>
        <v>0.8</v>
      </c>
    </row>
    <row r="56" spans="2:4" ht="15.75" customHeight="1">
      <c r="B56" s="309" t="s">
        <v>19</v>
      </c>
      <c r="C56" s="310">
        <f>C40</f>
        <v>0</v>
      </c>
    </row>
    <row r="57" spans="2:4" ht="15.75" customHeight="1">
      <c r="B57" s="309" t="s">
        <v>20</v>
      </c>
      <c r="C57" s="310">
        <f>C45+C40</f>
        <v>0.8</v>
      </c>
    </row>
    <row r="58" spans="2:4" ht="15.75" customHeight="1">
      <c r="B58" s="313" t="s">
        <v>21</v>
      </c>
      <c r="C58" s="314">
        <f>C41</f>
        <v>0.3</v>
      </c>
    </row>
    <row r="59" spans="2:4" ht="15.75" customHeight="1"/>
    <row r="60" spans="2:4" ht="15.75" customHeight="1">
      <c r="B60" s="372" t="s">
        <v>266</v>
      </c>
      <c r="C60" s="308" t="s">
        <v>267</v>
      </c>
    </row>
    <row r="61" spans="2:4" ht="15.75" customHeight="1">
      <c r="B61" s="313"/>
      <c r="C61" s="332">
        <v>0.25</v>
      </c>
      <c r="D61" s="56" t="s">
        <v>298</v>
      </c>
    </row>
    <row r="62" spans="2:4" ht="15.75" customHeight="1"/>
    <row r="63" spans="2:4" ht="15.75" customHeight="1">
      <c r="B63" s="333" t="s">
        <v>268</v>
      </c>
      <c r="C63" s="334" t="s">
        <v>75</v>
      </c>
    </row>
    <row r="64" spans="2:4" ht="15.75" customHeight="1">
      <c r="B64" s="309" t="s">
        <v>240</v>
      </c>
      <c r="C64" s="310">
        <f t="shared" ref="C64:C74" si="3">C48*$C$61</f>
        <v>0</v>
      </c>
    </row>
    <row r="65" spans="2:22" ht="15.75" customHeight="1">
      <c r="B65" s="309" t="s">
        <v>14</v>
      </c>
      <c r="C65" s="335">
        <f t="shared" si="3"/>
        <v>7.4999999999999997E-2</v>
      </c>
    </row>
    <row r="66" spans="2:22" ht="15.75" customHeight="1">
      <c r="B66" s="309" t="s">
        <v>241</v>
      </c>
      <c r="C66" s="310">
        <f t="shared" si="3"/>
        <v>0.2</v>
      </c>
    </row>
    <row r="67" spans="2:22" ht="15.75" customHeight="1">
      <c r="B67" s="309" t="s">
        <v>242</v>
      </c>
      <c r="C67" s="310">
        <f t="shared" si="3"/>
        <v>0.2</v>
      </c>
    </row>
    <row r="68" spans="2:22" ht="15.75" customHeight="1">
      <c r="B68" s="309" t="s">
        <v>15</v>
      </c>
      <c r="C68" s="335">
        <f t="shared" si="3"/>
        <v>7.4999999999999997E-2</v>
      </c>
    </row>
    <row r="69" spans="2:22" ht="15.75" customHeight="1">
      <c r="B69" s="311" t="s">
        <v>16</v>
      </c>
      <c r="C69" s="335">
        <f t="shared" si="3"/>
        <v>0.125</v>
      </c>
    </row>
    <row r="70" spans="2:22" ht="15.75" customHeight="1">
      <c r="B70" s="309" t="s">
        <v>17</v>
      </c>
      <c r="C70" s="310">
        <f t="shared" si="3"/>
        <v>0.2</v>
      </c>
    </row>
    <row r="71" spans="2:22" ht="15.75" customHeight="1">
      <c r="B71" s="309" t="s">
        <v>18</v>
      </c>
      <c r="C71" s="310">
        <f t="shared" si="3"/>
        <v>0.2</v>
      </c>
    </row>
    <row r="72" spans="2:22" ht="15.75" customHeight="1">
      <c r="B72" s="309" t="s">
        <v>19</v>
      </c>
      <c r="C72" s="310">
        <f t="shared" si="3"/>
        <v>0</v>
      </c>
    </row>
    <row r="73" spans="2:22" ht="15.75" customHeight="1">
      <c r="B73" s="309" t="s">
        <v>20</v>
      </c>
      <c r="C73" s="310">
        <f t="shared" si="3"/>
        <v>0.2</v>
      </c>
    </row>
    <row r="74" spans="2:22" ht="15.75" customHeight="1">
      <c r="B74" s="313" t="s">
        <v>21</v>
      </c>
      <c r="C74" s="335">
        <f t="shared" si="3"/>
        <v>7.4999999999999997E-2</v>
      </c>
    </row>
    <row r="75" spans="2:22" ht="15.75" customHeight="1">
      <c r="B75" s="348"/>
      <c r="C75" s="348"/>
    </row>
    <row r="76" spans="2:22" ht="15.75" customHeight="1">
      <c r="B76" s="354"/>
      <c r="C76" s="306"/>
    </row>
    <row r="77" spans="2:22" ht="15.75" customHeight="1">
      <c r="B77" s="333" t="s">
        <v>269</v>
      </c>
      <c r="C77" s="308" t="s">
        <v>270</v>
      </c>
    </row>
    <row r="78" spans="2:22" ht="15.75" customHeight="1">
      <c r="B78" s="313"/>
      <c r="C78" s="332">
        <v>0.35</v>
      </c>
      <c r="D78" s="56" t="s">
        <v>299</v>
      </c>
    </row>
    <row r="79" spans="2:22" ht="15.75" customHeight="1"/>
    <row r="80" spans="2:22" ht="15.75" customHeight="1">
      <c r="B80" s="336" t="s">
        <v>271</v>
      </c>
      <c r="C80" s="316" t="s">
        <v>272</v>
      </c>
      <c r="D80" s="316">
        <v>2005</v>
      </c>
      <c r="E80" s="316">
        <v>2006</v>
      </c>
      <c r="F80" s="316">
        <v>2007</v>
      </c>
      <c r="G80" s="316">
        <v>2008</v>
      </c>
      <c r="H80" s="316">
        <v>2009</v>
      </c>
      <c r="I80" s="316">
        <v>2010</v>
      </c>
      <c r="J80" s="316">
        <v>2011</v>
      </c>
      <c r="K80" s="316">
        <v>2012</v>
      </c>
      <c r="L80" s="316">
        <v>2013</v>
      </c>
      <c r="M80" s="316">
        <v>2014</v>
      </c>
      <c r="N80" s="316">
        <v>2015</v>
      </c>
      <c r="O80" s="316">
        <v>2016</v>
      </c>
      <c r="P80" s="316">
        <v>2017</v>
      </c>
      <c r="Q80" s="316">
        <v>2018</v>
      </c>
      <c r="R80" s="317">
        <v>2019</v>
      </c>
      <c r="S80" s="317">
        <v>2020</v>
      </c>
      <c r="T80" s="317">
        <v>2021</v>
      </c>
      <c r="U80" s="367">
        <v>2022</v>
      </c>
      <c r="V80" s="367">
        <v>2023</v>
      </c>
    </row>
    <row r="81" spans="2:22" ht="15.75" customHeight="1">
      <c r="B81" s="319"/>
      <c r="C81" s="320"/>
      <c r="D81" s="325">
        <f t="shared" ref="D81:V81" si="4">((D36-$C$78)*$C$69)/10^3</f>
        <v>259.43261225000003</v>
      </c>
      <c r="E81" s="325">
        <f t="shared" si="4"/>
        <v>259.43261225000003</v>
      </c>
      <c r="F81" s="325">
        <f t="shared" si="4"/>
        <v>259.43261225000003</v>
      </c>
      <c r="G81" s="325">
        <f t="shared" si="4"/>
        <v>259.43261225000003</v>
      </c>
      <c r="H81" s="325">
        <f t="shared" si="4"/>
        <v>259.43261225000003</v>
      </c>
      <c r="I81" s="325">
        <f t="shared" si="4"/>
        <v>259.43261225000003</v>
      </c>
      <c r="J81" s="325">
        <f t="shared" si="4"/>
        <v>259.43261225000003</v>
      </c>
      <c r="K81" s="325">
        <f t="shared" si="4"/>
        <v>259.43261225000003</v>
      </c>
      <c r="L81" s="325">
        <f t="shared" si="4"/>
        <v>259.43261225000003</v>
      </c>
      <c r="M81" s="325">
        <f t="shared" si="4"/>
        <v>259.43261225000003</v>
      </c>
      <c r="N81" s="325">
        <f t="shared" si="4"/>
        <v>259.43261225000003</v>
      </c>
      <c r="O81" s="325">
        <f t="shared" si="4"/>
        <v>259.43261225000003</v>
      </c>
      <c r="P81" s="325">
        <f t="shared" si="4"/>
        <v>259.43261225000003</v>
      </c>
      <c r="Q81" s="325">
        <f t="shared" si="4"/>
        <v>259.43261225000003</v>
      </c>
      <c r="R81" s="325">
        <f t="shared" si="4"/>
        <v>259.43261225000003</v>
      </c>
      <c r="S81" s="325">
        <f t="shared" si="4"/>
        <v>259.43261225000003</v>
      </c>
      <c r="T81" s="325">
        <f t="shared" si="4"/>
        <v>259.43261225000003</v>
      </c>
      <c r="U81" s="325">
        <f t="shared" si="4"/>
        <v>259.43261225000003</v>
      </c>
      <c r="V81" s="325">
        <f t="shared" si="4"/>
        <v>259.43261225000003</v>
      </c>
    </row>
    <row r="82" spans="2:22" ht="15.75" customHeight="1">
      <c r="B82" s="352"/>
      <c r="C82" s="320"/>
      <c r="D82" s="352"/>
      <c r="E82" s="352"/>
      <c r="F82" s="352"/>
      <c r="G82" s="352"/>
      <c r="H82" s="352"/>
      <c r="I82" s="352"/>
      <c r="J82" s="352"/>
      <c r="K82" s="352"/>
      <c r="L82" s="352"/>
      <c r="M82" s="352"/>
      <c r="N82" s="352"/>
      <c r="O82" s="352"/>
      <c r="P82" s="352"/>
      <c r="Q82" s="352"/>
      <c r="R82" s="79"/>
      <c r="S82" s="79"/>
      <c r="T82" s="79"/>
    </row>
    <row r="83" spans="2:22" ht="15.75" customHeight="1">
      <c r="B83" s="371"/>
      <c r="C83" s="361"/>
      <c r="D83" s="373"/>
      <c r="E83" s="373"/>
      <c r="F83" s="373"/>
      <c r="G83" s="371"/>
      <c r="H83" s="371"/>
      <c r="I83" s="371"/>
      <c r="J83" s="371"/>
      <c r="K83" s="371"/>
      <c r="L83" s="371"/>
      <c r="M83" s="371"/>
      <c r="N83" s="371"/>
      <c r="O83" s="371"/>
      <c r="P83" s="371"/>
      <c r="Q83" s="374"/>
    </row>
    <row r="84" spans="2:22" ht="15.75" customHeight="1">
      <c r="B84" s="307" t="s">
        <v>273</v>
      </c>
      <c r="C84" s="338" t="s">
        <v>274</v>
      </c>
      <c r="D84" s="338">
        <v>2005</v>
      </c>
      <c r="E84" s="338">
        <v>2006</v>
      </c>
      <c r="F84" s="338">
        <v>2007</v>
      </c>
      <c r="G84" s="338">
        <v>2008</v>
      </c>
      <c r="H84" s="338">
        <v>2009</v>
      </c>
      <c r="I84" s="338">
        <v>2010</v>
      </c>
      <c r="J84" s="338">
        <v>2011</v>
      </c>
      <c r="K84" s="338">
        <v>2012</v>
      </c>
      <c r="L84" s="338">
        <v>2013</v>
      </c>
      <c r="M84" s="338">
        <v>2014</v>
      </c>
      <c r="N84" s="338">
        <v>2015</v>
      </c>
      <c r="O84" s="338">
        <v>2016</v>
      </c>
      <c r="P84" s="338">
        <v>2017</v>
      </c>
      <c r="Q84" s="308">
        <v>2018</v>
      </c>
      <c r="R84" s="317">
        <v>2019</v>
      </c>
      <c r="S84" s="317">
        <v>2020</v>
      </c>
      <c r="T84" s="317">
        <v>2021</v>
      </c>
      <c r="U84" s="367">
        <v>2022</v>
      </c>
      <c r="V84" s="367">
        <v>2023</v>
      </c>
    </row>
    <row r="85" spans="2:22" ht="15.75" customHeight="1">
      <c r="B85" s="339" t="s">
        <v>315</v>
      </c>
      <c r="C85" s="340" t="s">
        <v>253</v>
      </c>
      <c r="D85" s="375">
        <v>0.75</v>
      </c>
      <c r="E85" s="375">
        <v>0.75</v>
      </c>
      <c r="F85" s="375">
        <v>0.75</v>
      </c>
      <c r="G85" s="375">
        <v>0.75</v>
      </c>
      <c r="H85" s="375">
        <v>0.75</v>
      </c>
      <c r="I85" s="375">
        <v>0.75</v>
      </c>
      <c r="J85" s="375">
        <v>0.75</v>
      </c>
      <c r="K85" s="375">
        <v>0.75</v>
      </c>
      <c r="L85" s="375">
        <v>0.75</v>
      </c>
      <c r="M85" s="375">
        <v>0.75</v>
      </c>
      <c r="N85" s="375">
        <v>0.75</v>
      </c>
      <c r="O85" s="375">
        <v>0.75</v>
      </c>
      <c r="P85" s="375">
        <v>0.75</v>
      </c>
      <c r="Q85" s="331">
        <v>0.75</v>
      </c>
      <c r="R85" s="79">
        <v>0.75</v>
      </c>
      <c r="S85" s="79">
        <v>0.75</v>
      </c>
      <c r="T85" s="79">
        <v>0.75</v>
      </c>
      <c r="U85" s="79">
        <v>0.75</v>
      </c>
      <c r="V85" s="79">
        <v>0.75</v>
      </c>
    </row>
    <row r="86" spans="2:22" ht="15.75" customHeight="1">
      <c r="B86" s="341"/>
      <c r="C86" s="341"/>
      <c r="D86" s="341"/>
      <c r="E86" s="341"/>
      <c r="F86" s="341"/>
      <c r="G86" s="341"/>
      <c r="H86" s="341"/>
      <c r="I86" s="341"/>
      <c r="J86" s="341"/>
      <c r="K86" s="341"/>
      <c r="L86" s="341"/>
      <c r="M86" s="341"/>
      <c r="N86" s="341"/>
      <c r="O86" s="348"/>
      <c r="P86" s="348"/>
      <c r="Q86" s="348"/>
    </row>
    <row r="87" spans="2:22" ht="15.75" customHeight="1">
      <c r="B87" s="341"/>
      <c r="C87" s="341"/>
      <c r="D87" s="341"/>
      <c r="E87" s="341"/>
      <c r="F87" s="341"/>
      <c r="G87" s="341"/>
      <c r="H87" s="341"/>
      <c r="I87" s="341"/>
      <c r="J87" s="341"/>
      <c r="K87" s="341"/>
      <c r="L87" s="341"/>
      <c r="M87" s="341"/>
      <c r="N87" s="341"/>
      <c r="O87" s="348"/>
      <c r="P87" s="348"/>
      <c r="Q87" s="348"/>
    </row>
    <row r="88" spans="2:22" ht="15.75" customHeight="1">
      <c r="B88" s="480" t="s">
        <v>275</v>
      </c>
      <c r="C88" s="480" t="s">
        <v>272</v>
      </c>
      <c r="D88" s="480">
        <v>2005</v>
      </c>
      <c r="E88" s="480">
        <v>2006</v>
      </c>
      <c r="F88" s="480">
        <v>2007</v>
      </c>
      <c r="G88" s="480">
        <v>2008</v>
      </c>
      <c r="H88" s="480">
        <v>2009</v>
      </c>
      <c r="I88" s="480">
        <v>2010</v>
      </c>
      <c r="J88" s="480">
        <v>2011</v>
      </c>
      <c r="K88" s="480">
        <v>2012</v>
      </c>
      <c r="L88" s="480">
        <v>2013</v>
      </c>
      <c r="M88" s="480">
        <v>2014</v>
      </c>
      <c r="N88" s="480">
        <v>2015</v>
      </c>
      <c r="O88" s="480">
        <v>2016</v>
      </c>
      <c r="P88" s="480">
        <v>2017</v>
      </c>
      <c r="Q88" s="480">
        <v>2018</v>
      </c>
      <c r="R88" s="483">
        <v>2019</v>
      </c>
      <c r="S88" s="483">
        <v>2020</v>
      </c>
      <c r="T88" s="483">
        <v>2021</v>
      </c>
      <c r="U88" s="484">
        <v>2022</v>
      </c>
      <c r="V88" s="484">
        <v>2023</v>
      </c>
    </row>
    <row r="89" spans="2:22" ht="15.75" customHeight="1">
      <c r="B89" s="481"/>
      <c r="C89" s="481"/>
      <c r="D89" s="496">
        <f t="shared" ref="D89:V89" si="5">D81*(1-D85)</f>
        <v>64.858153062500008</v>
      </c>
      <c r="E89" s="496">
        <f t="shared" si="5"/>
        <v>64.858153062500008</v>
      </c>
      <c r="F89" s="496">
        <f t="shared" si="5"/>
        <v>64.858153062500008</v>
      </c>
      <c r="G89" s="496">
        <f t="shared" si="5"/>
        <v>64.858153062500008</v>
      </c>
      <c r="H89" s="496">
        <f t="shared" si="5"/>
        <v>64.858153062500008</v>
      </c>
      <c r="I89" s="496">
        <f t="shared" si="5"/>
        <v>64.858153062500008</v>
      </c>
      <c r="J89" s="496">
        <f t="shared" si="5"/>
        <v>64.858153062500008</v>
      </c>
      <c r="K89" s="496">
        <f t="shared" si="5"/>
        <v>64.858153062500008</v>
      </c>
      <c r="L89" s="496">
        <f t="shared" si="5"/>
        <v>64.858153062500008</v>
      </c>
      <c r="M89" s="496">
        <f t="shared" si="5"/>
        <v>64.858153062500008</v>
      </c>
      <c r="N89" s="496">
        <f t="shared" si="5"/>
        <v>64.858153062500008</v>
      </c>
      <c r="O89" s="496">
        <f t="shared" si="5"/>
        <v>64.858153062500008</v>
      </c>
      <c r="P89" s="496">
        <f t="shared" si="5"/>
        <v>64.858153062500008</v>
      </c>
      <c r="Q89" s="496">
        <f t="shared" si="5"/>
        <v>64.858153062500008</v>
      </c>
      <c r="R89" s="496">
        <f t="shared" si="5"/>
        <v>64.858153062500008</v>
      </c>
      <c r="S89" s="496">
        <f t="shared" si="5"/>
        <v>64.858153062500008</v>
      </c>
      <c r="T89" s="496">
        <f t="shared" si="5"/>
        <v>64.858153062500008</v>
      </c>
      <c r="U89" s="496">
        <f t="shared" si="5"/>
        <v>64.858153062500008</v>
      </c>
      <c r="V89" s="496">
        <f t="shared" si="5"/>
        <v>64.858153062500008</v>
      </c>
    </row>
    <row r="90" spans="2:22" ht="15.75" customHeight="1">
      <c r="B90" s="482"/>
      <c r="C90" s="481"/>
      <c r="D90" s="482"/>
      <c r="E90" s="482"/>
      <c r="F90" s="482"/>
      <c r="G90" s="482"/>
      <c r="H90" s="482"/>
      <c r="I90" s="482"/>
      <c r="J90" s="482"/>
      <c r="K90" s="482"/>
      <c r="L90" s="482"/>
      <c r="M90" s="482"/>
      <c r="N90" s="482"/>
      <c r="O90" s="482"/>
      <c r="P90" s="482"/>
      <c r="Q90" s="482"/>
      <c r="R90" s="486"/>
      <c r="S90" s="486"/>
      <c r="T90" s="486"/>
      <c r="U90" s="492"/>
      <c r="V90" s="486"/>
    </row>
    <row r="91" spans="2:22" ht="15.75" customHeight="1">
      <c r="B91" s="482" t="s">
        <v>528</v>
      </c>
      <c r="C91" s="481"/>
      <c r="D91" s="496">
        <f>D89+D90</f>
        <v>64.858153062500008</v>
      </c>
      <c r="E91" s="496">
        <f t="shared" ref="E91:V91" si="6">E89+E90</f>
        <v>64.858153062500008</v>
      </c>
      <c r="F91" s="496">
        <f t="shared" si="6"/>
        <v>64.858153062500008</v>
      </c>
      <c r="G91" s="496">
        <f t="shared" si="6"/>
        <v>64.858153062500008</v>
      </c>
      <c r="H91" s="496">
        <f t="shared" si="6"/>
        <v>64.858153062500008</v>
      </c>
      <c r="I91" s="496">
        <f t="shared" si="6"/>
        <v>64.858153062500008</v>
      </c>
      <c r="J91" s="496">
        <f t="shared" si="6"/>
        <v>64.858153062500008</v>
      </c>
      <c r="K91" s="496">
        <f t="shared" si="6"/>
        <v>64.858153062500008</v>
      </c>
      <c r="L91" s="496">
        <f t="shared" si="6"/>
        <v>64.858153062500008</v>
      </c>
      <c r="M91" s="496">
        <f t="shared" si="6"/>
        <v>64.858153062500008</v>
      </c>
      <c r="N91" s="496">
        <f t="shared" si="6"/>
        <v>64.858153062500008</v>
      </c>
      <c r="O91" s="496">
        <f t="shared" si="6"/>
        <v>64.858153062500008</v>
      </c>
      <c r="P91" s="496">
        <f t="shared" si="6"/>
        <v>64.858153062500008</v>
      </c>
      <c r="Q91" s="496">
        <f t="shared" si="6"/>
        <v>64.858153062500008</v>
      </c>
      <c r="R91" s="496">
        <f t="shared" si="6"/>
        <v>64.858153062500008</v>
      </c>
      <c r="S91" s="496">
        <f t="shared" si="6"/>
        <v>64.858153062500008</v>
      </c>
      <c r="T91" s="496">
        <f t="shared" si="6"/>
        <v>64.858153062500008</v>
      </c>
      <c r="U91" s="496">
        <f t="shared" si="6"/>
        <v>64.858153062500008</v>
      </c>
      <c r="V91" s="496">
        <f t="shared" si="6"/>
        <v>64.858153062500008</v>
      </c>
    </row>
    <row r="92" spans="2:22" ht="15.75" customHeight="1">
      <c r="B92" s="476" t="s">
        <v>317</v>
      </c>
      <c r="C92" s="477" t="s">
        <v>272</v>
      </c>
      <c r="D92" s="479"/>
      <c r="E92" s="479"/>
      <c r="F92" s="479"/>
      <c r="G92" s="479"/>
      <c r="H92" s="479"/>
      <c r="I92" s="479"/>
      <c r="J92" s="479"/>
      <c r="K92" s="479"/>
      <c r="L92" s="479"/>
      <c r="M92" s="479"/>
      <c r="N92" s="479"/>
      <c r="O92" s="479"/>
      <c r="P92" s="479"/>
      <c r="Q92" s="479"/>
      <c r="R92" s="478"/>
      <c r="S92" s="478"/>
      <c r="T92" s="478"/>
      <c r="U92" s="367"/>
      <c r="V92" s="367"/>
    </row>
    <row r="93" spans="2:22" ht="15.75" customHeight="1">
      <c r="B93" s="481"/>
      <c r="C93" s="481"/>
      <c r="D93" s="492">
        <f t="shared" ref="D93:V93" si="7">D89*21</f>
        <v>1362.0212143125002</v>
      </c>
      <c r="E93" s="492">
        <f t="shared" si="7"/>
        <v>1362.0212143125002</v>
      </c>
      <c r="F93" s="492">
        <f t="shared" si="7"/>
        <v>1362.0212143125002</v>
      </c>
      <c r="G93" s="492">
        <f t="shared" si="7"/>
        <v>1362.0212143125002</v>
      </c>
      <c r="H93" s="492">
        <f t="shared" si="7"/>
        <v>1362.0212143125002</v>
      </c>
      <c r="I93" s="492">
        <f t="shared" si="7"/>
        <v>1362.0212143125002</v>
      </c>
      <c r="J93" s="492">
        <f t="shared" si="7"/>
        <v>1362.0212143125002</v>
      </c>
      <c r="K93" s="492">
        <f t="shared" si="7"/>
        <v>1362.0212143125002</v>
      </c>
      <c r="L93" s="492">
        <f t="shared" si="7"/>
        <v>1362.0212143125002</v>
      </c>
      <c r="M93" s="492">
        <f t="shared" si="7"/>
        <v>1362.0212143125002</v>
      </c>
      <c r="N93" s="492">
        <f t="shared" si="7"/>
        <v>1362.0212143125002</v>
      </c>
      <c r="O93" s="492">
        <f t="shared" si="7"/>
        <v>1362.0212143125002</v>
      </c>
      <c r="P93" s="492">
        <f t="shared" si="7"/>
        <v>1362.0212143125002</v>
      </c>
      <c r="Q93" s="492">
        <f t="shared" si="7"/>
        <v>1362.0212143125002</v>
      </c>
      <c r="R93" s="492">
        <f t="shared" si="7"/>
        <v>1362.0212143125002</v>
      </c>
      <c r="S93" s="492">
        <f t="shared" si="7"/>
        <v>1362.0212143125002</v>
      </c>
      <c r="T93" s="492">
        <f t="shared" si="7"/>
        <v>1362.0212143125002</v>
      </c>
      <c r="U93" s="492">
        <f t="shared" si="7"/>
        <v>1362.0212143125002</v>
      </c>
      <c r="V93" s="492">
        <f t="shared" si="7"/>
        <v>1362.0212143125002</v>
      </c>
    </row>
    <row r="94" spans="2:22" ht="15.75" customHeight="1">
      <c r="B94" s="482"/>
      <c r="C94" s="481"/>
      <c r="D94" s="482"/>
      <c r="E94" s="482"/>
      <c r="F94" s="482"/>
      <c r="G94" s="482"/>
      <c r="H94" s="482"/>
      <c r="I94" s="482"/>
      <c r="J94" s="482"/>
      <c r="K94" s="482"/>
      <c r="L94" s="482"/>
      <c r="M94" s="482"/>
      <c r="N94" s="482"/>
      <c r="O94" s="482"/>
      <c r="P94" s="482"/>
      <c r="Q94" s="482"/>
      <c r="R94" s="486"/>
      <c r="S94" s="486"/>
      <c r="T94" s="486"/>
      <c r="U94" s="486"/>
      <c r="V94" s="486"/>
    </row>
    <row r="95" spans="2:22" ht="15.75" customHeight="1">
      <c r="B95" s="480" t="s">
        <v>318</v>
      </c>
      <c r="C95" s="480" t="s">
        <v>272</v>
      </c>
      <c r="D95" s="498">
        <v>2005</v>
      </c>
      <c r="E95" s="498">
        <v>2006</v>
      </c>
      <c r="F95" s="498">
        <v>2007</v>
      </c>
      <c r="G95" s="498">
        <v>2008</v>
      </c>
      <c r="H95" s="498">
        <v>2009</v>
      </c>
      <c r="I95" s="498">
        <v>2010</v>
      </c>
      <c r="J95" s="498">
        <v>2011</v>
      </c>
      <c r="K95" s="498">
        <v>2012</v>
      </c>
      <c r="L95" s="498">
        <v>2013</v>
      </c>
      <c r="M95" s="498">
        <v>2014</v>
      </c>
      <c r="N95" s="498">
        <v>2015</v>
      </c>
      <c r="O95" s="498">
        <v>2016</v>
      </c>
      <c r="P95" s="498">
        <v>2017</v>
      </c>
      <c r="Q95" s="498">
        <v>2018</v>
      </c>
      <c r="R95" s="483">
        <v>2019</v>
      </c>
      <c r="S95" s="483">
        <v>2020</v>
      </c>
      <c r="T95" s="483">
        <v>2021</v>
      </c>
      <c r="U95" s="484">
        <v>2022</v>
      </c>
      <c r="V95" s="484">
        <v>2023</v>
      </c>
    </row>
    <row r="96" spans="2:22" ht="15.75" customHeight="1">
      <c r="B96" s="480" t="s">
        <v>133</v>
      </c>
      <c r="C96" s="480"/>
      <c r="D96" s="498">
        <f>D94+D95</f>
        <v>2005</v>
      </c>
      <c r="E96" s="498">
        <f t="shared" ref="E96:V96" si="8">E94+E95</f>
        <v>2006</v>
      </c>
      <c r="F96" s="498">
        <f t="shared" si="8"/>
        <v>2007</v>
      </c>
      <c r="G96" s="498">
        <f t="shared" si="8"/>
        <v>2008</v>
      </c>
      <c r="H96" s="498">
        <f t="shared" si="8"/>
        <v>2009</v>
      </c>
      <c r="I96" s="498">
        <f t="shared" si="8"/>
        <v>2010</v>
      </c>
      <c r="J96" s="498">
        <f t="shared" si="8"/>
        <v>2011</v>
      </c>
      <c r="K96" s="498">
        <f t="shared" si="8"/>
        <v>2012</v>
      </c>
      <c r="L96" s="498">
        <f t="shared" si="8"/>
        <v>2013</v>
      </c>
      <c r="M96" s="498">
        <f t="shared" si="8"/>
        <v>2014</v>
      </c>
      <c r="N96" s="498">
        <f t="shared" si="8"/>
        <v>2015</v>
      </c>
      <c r="O96" s="498">
        <f t="shared" si="8"/>
        <v>2016</v>
      </c>
      <c r="P96" s="498">
        <f t="shared" si="8"/>
        <v>2017</v>
      </c>
      <c r="Q96" s="498">
        <f t="shared" si="8"/>
        <v>2018</v>
      </c>
      <c r="R96" s="498">
        <f t="shared" si="8"/>
        <v>2019</v>
      </c>
      <c r="S96" s="498">
        <f t="shared" si="8"/>
        <v>2020</v>
      </c>
      <c r="T96" s="498">
        <f t="shared" si="8"/>
        <v>2021</v>
      </c>
      <c r="U96" s="498">
        <f t="shared" si="8"/>
        <v>2022</v>
      </c>
      <c r="V96" s="498">
        <f t="shared" si="8"/>
        <v>2023</v>
      </c>
    </row>
    <row r="97" spans="2:22" ht="15.75" customHeight="1">
      <c r="B97" s="504"/>
      <c r="C97" s="505"/>
      <c r="D97" s="506">
        <f t="shared" ref="D97:V97" si="9">D89*27.9</f>
        <v>1809.5424704437501</v>
      </c>
      <c r="E97" s="506">
        <f t="shared" si="9"/>
        <v>1809.5424704437501</v>
      </c>
      <c r="F97" s="506">
        <f t="shared" si="9"/>
        <v>1809.5424704437501</v>
      </c>
      <c r="G97" s="506">
        <f t="shared" si="9"/>
        <v>1809.5424704437501</v>
      </c>
      <c r="H97" s="506">
        <f t="shared" si="9"/>
        <v>1809.5424704437501</v>
      </c>
      <c r="I97" s="506">
        <f t="shared" si="9"/>
        <v>1809.5424704437501</v>
      </c>
      <c r="J97" s="506">
        <f t="shared" si="9"/>
        <v>1809.5424704437501</v>
      </c>
      <c r="K97" s="506">
        <f t="shared" si="9"/>
        <v>1809.5424704437501</v>
      </c>
      <c r="L97" s="506">
        <f t="shared" si="9"/>
        <v>1809.5424704437501</v>
      </c>
      <c r="M97" s="506">
        <f t="shared" si="9"/>
        <v>1809.5424704437501</v>
      </c>
      <c r="N97" s="506">
        <f t="shared" si="9"/>
        <v>1809.5424704437501</v>
      </c>
      <c r="O97" s="506">
        <f t="shared" si="9"/>
        <v>1809.5424704437501</v>
      </c>
      <c r="P97" s="506">
        <f t="shared" si="9"/>
        <v>1809.5424704437501</v>
      </c>
      <c r="Q97" s="506">
        <f t="shared" si="9"/>
        <v>1809.5424704437501</v>
      </c>
      <c r="R97" s="506">
        <f t="shared" si="9"/>
        <v>1809.5424704437501</v>
      </c>
      <c r="S97" s="506">
        <f t="shared" si="9"/>
        <v>1809.5424704437501</v>
      </c>
      <c r="T97" s="506">
        <f t="shared" si="9"/>
        <v>1809.5424704437501</v>
      </c>
      <c r="U97" s="506">
        <f t="shared" si="9"/>
        <v>1809.5424704437501</v>
      </c>
      <c r="V97" s="506">
        <f t="shared" si="9"/>
        <v>1809.5424704437501</v>
      </c>
    </row>
    <row r="98" spans="2:22" ht="15.75" customHeight="1">
      <c r="B98" s="486"/>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row r="100" spans="2:22" ht="15.75" customHeight="1">
      <c r="B100" s="315" t="s">
        <v>319</v>
      </c>
      <c r="C100" s="316" t="s">
        <v>272</v>
      </c>
      <c r="D100" s="377">
        <v>2005</v>
      </c>
      <c r="E100" s="377">
        <v>2006</v>
      </c>
      <c r="F100" s="377">
        <v>2007</v>
      </c>
      <c r="G100" s="377">
        <v>2008</v>
      </c>
      <c r="H100" s="377">
        <v>2009</v>
      </c>
      <c r="I100" s="377">
        <v>2010</v>
      </c>
      <c r="J100" s="377">
        <v>2011</v>
      </c>
      <c r="K100" s="377">
        <v>2012</v>
      </c>
      <c r="L100" s="377">
        <v>2013</v>
      </c>
      <c r="M100" s="377">
        <v>2014</v>
      </c>
      <c r="N100" s="377">
        <v>2015</v>
      </c>
      <c r="O100" s="377">
        <v>2016</v>
      </c>
      <c r="P100" s="377">
        <v>2017</v>
      </c>
      <c r="Q100" s="377">
        <v>2018</v>
      </c>
      <c r="R100" s="317">
        <v>2019</v>
      </c>
      <c r="S100" s="317">
        <v>2020</v>
      </c>
      <c r="T100" s="317">
        <v>2021</v>
      </c>
      <c r="U100" s="367">
        <v>2022</v>
      </c>
      <c r="V100" s="367">
        <v>2023</v>
      </c>
    </row>
    <row r="101" spans="2:22" ht="15.75" customHeight="1">
      <c r="B101" s="319"/>
      <c r="C101" s="320"/>
      <c r="D101" s="325">
        <f t="shared" ref="D101:V101" si="10">D89*5.38</f>
        <v>348.93686347625004</v>
      </c>
      <c r="E101" s="325">
        <f t="shared" si="10"/>
        <v>348.93686347625004</v>
      </c>
      <c r="F101" s="325">
        <f t="shared" si="10"/>
        <v>348.93686347625004</v>
      </c>
      <c r="G101" s="325">
        <f t="shared" si="10"/>
        <v>348.93686347625004</v>
      </c>
      <c r="H101" s="325">
        <f t="shared" si="10"/>
        <v>348.93686347625004</v>
      </c>
      <c r="I101" s="325">
        <f t="shared" si="10"/>
        <v>348.93686347625004</v>
      </c>
      <c r="J101" s="325">
        <f t="shared" si="10"/>
        <v>348.93686347625004</v>
      </c>
      <c r="K101" s="325">
        <f t="shared" si="10"/>
        <v>348.93686347625004</v>
      </c>
      <c r="L101" s="325">
        <f t="shared" si="10"/>
        <v>348.93686347625004</v>
      </c>
      <c r="M101" s="325">
        <f t="shared" si="10"/>
        <v>348.93686347625004</v>
      </c>
      <c r="N101" s="325">
        <f t="shared" si="10"/>
        <v>348.93686347625004</v>
      </c>
      <c r="O101" s="325">
        <f t="shared" si="10"/>
        <v>348.93686347625004</v>
      </c>
      <c r="P101" s="325">
        <f t="shared" si="10"/>
        <v>348.93686347625004</v>
      </c>
      <c r="Q101" s="325">
        <f t="shared" si="10"/>
        <v>348.93686347625004</v>
      </c>
      <c r="R101" s="325">
        <f t="shared" si="10"/>
        <v>348.93686347625004</v>
      </c>
      <c r="S101" s="325">
        <f t="shared" si="10"/>
        <v>348.93686347625004</v>
      </c>
      <c r="T101" s="325">
        <f t="shared" si="10"/>
        <v>348.93686347625004</v>
      </c>
      <c r="U101" s="325">
        <f t="shared" si="10"/>
        <v>348.93686347625004</v>
      </c>
      <c r="V101" s="325">
        <f t="shared" si="10"/>
        <v>348.93686347625004</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C2"/>
    <mergeCell ref="B47:C4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19E9-49A1-4CED-9028-B9274AD4DE1D}">
  <sheetPr>
    <tabColor theme="4" tint="0.59999389629810485"/>
    <outlinePr summaryBelow="0" summaryRight="0"/>
  </sheetPr>
  <dimension ref="B1:W1003"/>
  <sheetViews>
    <sheetView workbookViewId="0">
      <selection activeCell="B103" sqref="B103:B105"/>
    </sheetView>
  </sheetViews>
  <sheetFormatPr defaultColWidth="12.6640625" defaultRowHeight="15" customHeight="1"/>
  <cols>
    <col min="1" max="2" width="12.6640625" style="10" customWidth="1"/>
    <col min="3" max="3" width="32.21875" style="10" customWidth="1"/>
    <col min="4" max="4" width="28" style="10" customWidth="1"/>
    <col min="5" max="5" width="19.33203125" style="10" customWidth="1"/>
    <col min="6" max="6" width="22.6640625" style="10" customWidth="1"/>
    <col min="7" max="16384" width="12.6640625" style="10"/>
  </cols>
  <sheetData>
    <row r="1" spans="2:23" ht="15.75" customHeight="1">
      <c r="B1" s="343" t="s">
        <v>320</v>
      </c>
    </row>
    <row r="2" spans="2:23" ht="15.75" customHeight="1"/>
    <row r="3" spans="2:23" ht="15.75" customHeight="1">
      <c r="B3" s="734" t="s">
        <v>8</v>
      </c>
      <c r="C3" s="732" t="s">
        <v>244</v>
      </c>
      <c r="D3" s="670"/>
      <c r="E3" s="670"/>
      <c r="F3" s="670"/>
      <c r="G3" s="670"/>
      <c r="H3" s="670"/>
      <c r="I3" s="670"/>
      <c r="J3" s="670"/>
      <c r="K3" s="670"/>
      <c r="L3" s="670"/>
      <c r="M3" s="670"/>
      <c r="N3" s="670"/>
      <c r="O3" s="670"/>
      <c r="P3" s="670"/>
      <c r="Q3" s="670"/>
      <c r="R3" s="670"/>
      <c r="S3" s="670"/>
      <c r="T3" s="670"/>
      <c r="U3" s="672"/>
    </row>
    <row r="4" spans="2:23" ht="15.75" customHeight="1">
      <c r="B4" s="665"/>
      <c r="C4" s="316" t="s">
        <v>276</v>
      </c>
      <c r="D4" s="345">
        <v>38108</v>
      </c>
      <c r="E4" s="345">
        <v>38504</v>
      </c>
      <c r="F4" s="345">
        <v>38899</v>
      </c>
      <c r="G4" s="345">
        <v>39295</v>
      </c>
      <c r="H4" s="345">
        <v>39692</v>
      </c>
      <c r="I4" s="346">
        <v>40087</v>
      </c>
      <c r="J4" s="346">
        <v>40483</v>
      </c>
      <c r="K4" s="346">
        <v>40878</v>
      </c>
      <c r="L4" s="316" t="s">
        <v>277</v>
      </c>
      <c r="M4" s="316" t="s">
        <v>278</v>
      </c>
      <c r="N4" s="316" t="s">
        <v>210</v>
      </c>
      <c r="O4" s="316" t="s">
        <v>279</v>
      </c>
      <c r="P4" s="316" t="s">
        <v>280</v>
      </c>
      <c r="Q4" s="316" t="s">
        <v>281</v>
      </c>
      <c r="R4" s="316" t="s">
        <v>282</v>
      </c>
      <c r="S4" s="317" t="s">
        <v>283</v>
      </c>
      <c r="T4" s="317" t="s">
        <v>284</v>
      </c>
      <c r="U4" s="317" t="s">
        <v>285</v>
      </c>
      <c r="V4" s="367" t="s">
        <v>286</v>
      </c>
      <c r="W4" s="247" t="s">
        <v>287</v>
      </c>
    </row>
    <row r="5" spans="2:23" ht="15.75" customHeight="1">
      <c r="B5" s="370" t="s">
        <v>0</v>
      </c>
      <c r="C5" s="320" t="s">
        <v>272</v>
      </c>
      <c r="D5" s="321">
        <f t="shared" ref="D5:W5" si="0">$E$59</f>
        <v>3245028.4849999999</v>
      </c>
      <c r="E5" s="321">
        <f t="shared" si="0"/>
        <v>3245028.4849999999</v>
      </c>
      <c r="F5" s="321">
        <f t="shared" si="0"/>
        <v>3245028.4849999999</v>
      </c>
      <c r="G5" s="321">
        <f t="shared" si="0"/>
        <v>3245028.4849999999</v>
      </c>
      <c r="H5" s="321">
        <f t="shared" si="0"/>
        <v>3245028.4849999999</v>
      </c>
      <c r="I5" s="321">
        <f t="shared" si="0"/>
        <v>3245028.4849999999</v>
      </c>
      <c r="J5" s="321">
        <f t="shared" si="0"/>
        <v>3245028.4849999999</v>
      </c>
      <c r="K5" s="321">
        <f t="shared" si="0"/>
        <v>3245028.4849999999</v>
      </c>
      <c r="L5" s="321">
        <f t="shared" si="0"/>
        <v>3245028.4849999999</v>
      </c>
      <c r="M5" s="321">
        <f t="shared" si="0"/>
        <v>3245028.4849999999</v>
      </c>
      <c r="N5" s="321">
        <f t="shared" si="0"/>
        <v>3245028.4849999999</v>
      </c>
      <c r="O5" s="321">
        <f t="shared" si="0"/>
        <v>3245028.4849999999</v>
      </c>
      <c r="P5" s="321">
        <f t="shared" si="0"/>
        <v>3245028.4849999999</v>
      </c>
      <c r="Q5" s="321">
        <f t="shared" si="0"/>
        <v>3245028.4849999999</v>
      </c>
      <c r="R5" s="321">
        <f t="shared" si="0"/>
        <v>3245028.4849999999</v>
      </c>
      <c r="S5" s="321">
        <f t="shared" si="0"/>
        <v>3245028.4849999999</v>
      </c>
      <c r="T5" s="321">
        <f t="shared" si="0"/>
        <v>3245028.4849999999</v>
      </c>
      <c r="U5" s="321">
        <f t="shared" si="0"/>
        <v>3245028.4849999999</v>
      </c>
      <c r="V5" s="321">
        <f t="shared" si="0"/>
        <v>3245028.4849999999</v>
      </c>
      <c r="W5" s="321">
        <f t="shared" si="0"/>
        <v>3245028.4849999999</v>
      </c>
    </row>
    <row r="6" spans="2:23" ht="15.75" customHeight="1">
      <c r="B6" s="326"/>
      <c r="C6" s="326"/>
      <c r="D6" s="356"/>
      <c r="E6" s="356"/>
      <c r="F6" s="356"/>
      <c r="G6" s="356"/>
      <c r="H6" s="356"/>
      <c r="I6" s="356"/>
      <c r="J6" s="356"/>
      <c r="K6" s="356"/>
      <c r="L6" s="356"/>
      <c r="M6" s="356"/>
      <c r="N6" s="356"/>
      <c r="O6" s="356"/>
      <c r="P6" s="356"/>
      <c r="Q6" s="356"/>
      <c r="R6" s="356"/>
      <c r="S6" s="79"/>
      <c r="T6" s="79"/>
      <c r="U6" s="79"/>
    </row>
    <row r="7" spans="2:23" ht="15.75" customHeight="1"/>
    <row r="8" spans="2:23" ht="15.75" customHeight="1"/>
    <row r="9" spans="2:23" ht="15.75" customHeight="1">
      <c r="B9" s="55"/>
    </row>
    <row r="10" spans="2:23" ht="15.75" customHeight="1">
      <c r="B10" s="56" t="s">
        <v>321</v>
      </c>
    </row>
    <row r="11" spans="2:23" ht="15.75" customHeight="1">
      <c r="B11" s="378" t="s">
        <v>322</v>
      </c>
      <c r="C11" s="379" t="s">
        <v>323</v>
      </c>
      <c r="D11" s="379" t="s">
        <v>324</v>
      </c>
      <c r="E11" s="379" t="s">
        <v>325</v>
      </c>
      <c r="F11" s="379" t="s">
        <v>326</v>
      </c>
      <c r="G11" s="379" t="s">
        <v>246</v>
      </c>
    </row>
    <row r="12" spans="2:23" ht="15.75" customHeight="1">
      <c r="B12" s="380">
        <v>1</v>
      </c>
      <c r="C12" s="381" t="s">
        <v>327</v>
      </c>
      <c r="D12" s="381" t="s">
        <v>328</v>
      </c>
      <c r="E12" s="382"/>
      <c r="F12" s="383">
        <v>190.11</v>
      </c>
      <c r="G12" s="384" t="s">
        <v>329</v>
      </c>
    </row>
    <row r="13" spans="2:23" ht="15.75" customHeight="1">
      <c r="B13" s="380">
        <v>2</v>
      </c>
      <c r="C13" s="381" t="s">
        <v>330</v>
      </c>
      <c r="D13" s="381" t="s">
        <v>16</v>
      </c>
      <c r="E13" s="385">
        <v>214.05</v>
      </c>
      <c r="F13" s="383">
        <v>269</v>
      </c>
      <c r="G13" s="384" t="s">
        <v>329</v>
      </c>
    </row>
    <row r="14" spans="2:23" ht="15.75" customHeight="1">
      <c r="B14" s="380">
        <v>3</v>
      </c>
      <c r="C14" s="381" t="s">
        <v>331</v>
      </c>
      <c r="D14" s="381" t="s">
        <v>16</v>
      </c>
      <c r="E14" s="383">
        <v>161.1</v>
      </c>
      <c r="F14" s="383">
        <v>161.1</v>
      </c>
      <c r="G14" s="384" t="s">
        <v>329</v>
      </c>
    </row>
    <row r="15" spans="2:23" ht="15.75" customHeight="1">
      <c r="B15" s="380">
        <v>4</v>
      </c>
      <c r="C15" s="381" t="s">
        <v>332</v>
      </c>
      <c r="D15" s="381"/>
      <c r="E15" s="383">
        <v>20</v>
      </c>
      <c r="F15" s="383">
        <v>50</v>
      </c>
      <c r="G15" s="384" t="s">
        <v>329</v>
      </c>
    </row>
    <row r="16" spans="2:23" ht="15.75" customHeight="1">
      <c r="B16" s="380">
        <v>5</v>
      </c>
      <c r="C16" s="381" t="s">
        <v>333</v>
      </c>
      <c r="D16" s="381" t="s">
        <v>328</v>
      </c>
      <c r="E16" s="381"/>
      <c r="F16" s="383">
        <v>3.1</v>
      </c>
      <c r="G16" s="384" t="s">
        <v>329</v>
      </c>
    </row>
    <row r="17" spans="2:7" ht="15.75" customHeight="1">
      <c r="B17" s="380">
        <v>6</v>
      </c>
      <c r="C17" s="381" t="s">
        <v>334</v>
      </c>
      <c r="D17" s="381" t="s">
        <v>16</v>
      </c>
      <c r="E17" s="382"/>
      <c r="F17" s="383">
        <v>300</v>
      </c>
      <c r="G17" s="384" t="s">
        <v>329</v>
      </c>
    </row>
    <row r="18" spans="2:7" ht="15.75" customHeight="1">
      <c r="B18" s="380">
        <v>7</v>
      </c>
      <c r="C18" s="381" t="s">
        <v>335</v>
      </c>
      <c r="D18" s="381" t="s">
        <v>16</v>
      </c>
      <c r="E18" s="383">
        <v>150</v>
      </c>
      <c r="F18" s="383">
        <v>157</v>
      </c>
      <c r="G18" s="384" t="s">
        <v>329</v>
      </c>
    </row>
    <row r="19" spans="2:7" ht="15.75" customHeight="1">
      <c r="B19" s="380">
        <v>8</v>
      </c>
      <c r="C19" s="381" t="s">
        <v>336</v>
      </c>
      <c r="D19" s="381" t="s">
        <v>16</v>
      </c>
      <c r="E19" s="383">
        <v>520.30399999999997</v>
      </c>
      <c r="F19" s="383">
        <v>520.30399999999997</v>
      </c>
      <c r="G19" s="384" t="s">
        <v>329</v>
      </c>
    </row>
    <row r="20" spans="2:7" ht="15.75" customHeight="1">
      <c r="B20" s="380">
        <v>9</v>
      </c>
      <c r="C20" s="381" t="s">
        <v>337</v>
      </c>
      <c r="D20" s="381" t="s">
        <v>338</v>
      </c>
      <c r="E20" s="382"/>
      <c r="F20" s="383">
        <v>40</v>
      </c>
      <c r="G20" s="384" t="s">
        <v>329</v>
      </c>
    </row>
    <row r="21" spans="2:7" ht="15.75" customHeight="1">
      <c r="B21" s="380">
        <v>10</v>
      </c>
      <c r="C21" s="381" t="s">
        <v>339</v>
      </c>
      <c r="D21" s="381" t="s">
        <v>340</v>
      </c>
      <c r="E21" s="383">
        <v>30</v>
      </c>
      <c r="F21" s="383">
        <v>44</v>
      </c>
      <c r="G21" s="384" t="s">
        <v>329</v>
      </c>
    </row>
    <row r="22" spans="2:7" ht="15.75" customHeight="1">
      <c r="B22" s="380">
        <v>11</v>
      </c>
      <c r="C22" s="381" t="s">
        <v>341</v>
      </c>
      <c r="D22" s="381" t="s">
        <v>342</v>
      </c>
      <c r="E22" s="383">
        <v>59.5</v>
      </c>
      <c r="F22" s="383">
        <v>123</v>
      </c>
      <c r="G22" s="384" t="s">
        <v>329</v>
      </c>
    </row>
    <row r="23" spans="2:7" ht="15.75" customHeight="1">
      <c r="B23" s="380">
        <v>12</v>
      </c>
      <c r="C23" s="381" t="s">
        <v>343</v>
      </c>
      <c r="D23" s="381" t="s">
        <v>16</v>
      </c>
      <c r="E23" s="383">
        <v>82.5</v>
      </c>
      <c r="F23" s="383">
        <v>82.5</v>
      </c>
      <c r="G23" s="384" t="s">
        <v>329</v>
      </c>
    </row>
    <row r="24" spans="2:7" ht="15.75" customHeight="1">
      <c r="B24" s="380">
        <v>13</v>
      </c>
      <c r="C24" s="381" t="s">
        <v>344</v>
      </c>
      <c r="D24" s="381" t="s">
        <v>16</v>
      </c>
      <c r="E24" s="383">
        <v>35</v>
      </c>
      <c r="F24" s="383">
        <v>70</v>
      </c>
      <c r="G24" s="384" t="s">
        <v>329</v>
      </c>
    </row>
    <row r="25" spans="2:7" ht="15.75" customHeight="1">
      <c r="B25" s="380">
        <v>14</v>
      </c>
      <c r="C25" s="381" t="s">
        <v>345</v>
      </c>
      <c r="D25" s="381" t="s">
        <v>328</v>
      </c>
      <c r="E25" s="383">
        <v>30</v>
      </c>
      <c r="F25" s="383">
        <v>30</v>
      </c>
      <c r="G25" s="384" t="s">
        <v>329</v>
      </c>
    </row>
    <row r="26" spans="2:7" ht="15.75" customHeight="1">
      <c r="B26" s="380">
        <v>15</v>
      </c>
      <c r="C26" s="381" t="s">
        <v>346</v>
      </c>
      <c r="D26" s="381" t="s">
        <v>16</v>
      </c>
      <c r="E26" s="383">
        <v>470.1</v>
      </c>
      <c r="F26" s="383">
        <v>470.75</v>
      </c>
      <c r="G26" s="384" t="s">
        <v>329</v>
      </c>
    </row>
    <row r="27" spans="2:7" ht="15.75" customHeight="1">
      <c r="B27" s="380">
        <v>16</v>
      </c>
      <c r="C27" s="381" t="s">
        <v>347</v>
      </c>
      <c r="D27" s="381" t="s">
        <v>328</v>
      </c>
      <c r="E27" s="383">
        <v>64.7</v>
      </c>
      <c r="F27" s="383">
        <v>100</v>
      </c>
      <c r="G27" s="384" t="s">
        <v>329</v>
      </c>
    </row>
    <row r="28" spans="2:7" ht="15.75" customHeight="1">
      <c r="B28" s="380">
        <v>17</v>
      </c>
      <c r="C28" s="381" t="s">
        <v>348</v>
      </c>
      <c r="D28" s="381" t="s">
        <v>16</v>
      </c>
      <c r="E28" s="383">
        <v>20</v>
      </c>
      <c r="F28" s="383">
        <v>20</v>
      </c>
      <c r="G28" s="384" t="s">
        <v>329</v>
      </c>
    </row>
    <row r="29" spans="2:7" ht="15.75" customHeight="1">
      <c r="B29" s="380">
        <v>18</v>
      </c>
      <c r="C29" s="381" t="s">
        <v>349</v>
      </c>
      <c r="D29" s="381" t="s">
        <v>328</v>
      </c>
      <c r="E29" s="383">
        <v>5.39</v>
      </c>
      <c r="F29" s="383">
        <v>5.55</v>
      </c>
      <c r="G29" s="384" t="s">
        <v>329</v>
      </c>
    </row>
    <row r="30" spans="2:7" ht="15.75" customHeight="1">
      <c r="B30" s="380">
        <v>19</v>
      </c>
      <c r="C30" s="381" t="s">
        <v>350</v>
      </c>
      <c r="D30" s="381" t="s">
        <v>16</v>
      </c>
      <c r="E30" s="383">
        <v>64.635000000000005</v>
      </c>
      <c r="F30" s="383">
        <v>64.8</v>
      </c>
      <c r="G30" s="384" t="s">
        <v>329</v>
      </c>
    </row>
    <row r="31" spans="2:7" ht="15.75" customHeight="1">
      <c r="B31" s="380">
        <v>20</v>
      </c>
      <c r="C31" s="381" t="s">
        <v>351</v>
      </c>
      <c r="D31" s="381" t="s">
        <v>16</v>
      </c>
      <c r="E31" s="383">
        <v>6300</v>
      </c>
      <c r="F31" s="383">
        <v>7500</v>
      </c>
      <c r="G31" s="384" t="s">
        <v>329</v>
      </c>
    </row>
    <row r="32" spans="2:7" ht="15.75" customHeight="1">
      <c r="B32" s="380">
        <v>21</v>
      </c>
      <c r="C32" s="381" t="s">
        <v>352</v>
      </c>
      <c r="D32" s="381" t="s">
        <v>328</v>
      </c>
      <c r="E32" s="382"/>
      <c r="F32" s="383">
        <v>5</v>
      </c>
      <c r="G32" s="384" t="s">
        <v>329</v>
      </c>
    </row>
    <row r="33" spans="2:7" ht="15.75" customHeight="1">
      <c r="B33" s="380">
        <v>22</v>
      </c>
      <c r="C33" s="381" t="s">
        <v>353</v>
      </c>
      <c r="D33" s="381" t="s">
        <v>354</v>
      </c>
      <c r="E33" s="382"/>
      <c r="F33" s="383">
        <v>125</v>
      </c>
      <c r="G33" s="384" t="s">
        <v>329</v>
      </c>
    </row>
    <row r="34" spans="2:7" ht="15.75" customHeight="1"/>
    <row r="35" spans="2:7" ht="15.75" customHeight="1">
      <c r="B35" s="378" t="s">
        <v>322</v>
      </c>
      <c r="C35" s="379" t="s">
        <v>323</v>
      </c>
      <c r="D35" s="379" t="s">
        <v>324</v>
      </c>
      <c r="E35" s="379" t="s">
        <v>325</v>
      </c>
    </row>
    <row r="36" spans="2:7" ht="15.75" customHeight="1">
      <c r="B36" s="380">
        <v>1</v>
      </c>
      <c r="C36" s="381" t="s">
        <v>327</v>
      </c>
      <c r="D36" s="381" t="s">
        <v>328</v>
      </c>
      <c r="E36" s="382">
        <f>F12</f>
        <v>190.11</v>
      </c>
    </row>
    <row r="37" spans="2:7" ht="15.75" customHeight="1">
      <c r="B37" s="380">
        <v>2</v>
      </c>
      <c r="C37" s="381" t="s">
        <v>330</v>
      </c>
      <c r="D37" s="381" t="s">
        <v>16</v>
      </c>
      <c r="E37" s="385">
        <v>214.05</v>
      </c>
    </row>
    <row r="38" spans="2:7" ht="15.75" customHeight="1">
      <c r="B38" s="380">
        <v>3</v>
      </c>
      <c r="C38" s="381" t="s">
        <v>331</v>
      </c>
      <c r="D38" s="381" t="s">
        <v>16</v>
      </c>
      <c r="E38" s="383">
        <v>161.1</v>
      </c>
    </row>
    <row r="39" spans="2:7" ht="15.75" customHeight="1">
      <c r="B39" s="380">
        <v>4</v>
      </c>
      <c r="C39" s="381" t="s">
        <v>332</v>
      </c>
      <c r="D39" s="381"/>
      <c r="E39" s="383">
        <v>20</v>
      </c>
    </row>
    <row r="40" spans="2:7" ht="15.75" customHeight="1">
      <c r="B40" s="380">
        <v>5</v>
      </c>
      <c r="C40" s="381" t="s">
        <v>333</v>
      </c>
      <c r="D40" s="381" t="s">
        <v>328</v>
      </c>
      <c r="E40" s="381">
        <f>F16</f>
        <v>3.1</v>
      </c>
    </row>
    <row r="41" spans="2:7" ht="15.75" customHeight="1">
      <c r="B41" s="380">
        <v>6</v>
      </c>
      <c r="C41" s="381" t="s">
        <v>334</v>
      </c>
      <c r="D41" s="381" t="s">
        <v>16</v>
      </c>
      <c r="E41" s="382">
        <f>F17</f>
        <v>300</v>
      </c>
    </row>
    <row r="42" spans="2:7" ht="15.75" customHeight="1">
      <c r="B42" s="380">
        <v>7</v>
      </c>
      <c r="C42" s="381" t="s">
        <v>335</v>
      </c>
      <c r="D42" s="381" t="s">
        <v>16</v>
      </c>
      <c r="E42" s="383">
        <v>150</v>
      </c>
    </row>
    <row r="43" spans="2:7" ht="15.75" customHeight="1">
      <c r="B43" s="380">
        <v>8</v>
      </c>
      <c r="C43" s="381" t="s">
        <v>336</v>
      </c>
      <c r="D43" s="381" t="s">
        <v>16</v>
      </c>
      <c r="E43" s="383">
        <v>520.30399999999997</v>
      </c>
    </row>
    <row r="44" spans="2:7" ht="15.75" customHeight="1">
      <c r="B44" s="380">
        <v>9</v>
      </c>
      <c r="C44" s="381" t="s">
        <v>337</v>
      </c>
      <c r="D44" s="381" t="s">
        <v>338</v>
      </c>
      <c r="E44" s="382">
        <f>F20</f>
        <v>40</v>
      </c>
    </row>
    <row r="45" spans="2:7" ht="15.75" customHeight="1">
      <c r="B45" s="380">
        <v>10</v>
      </c>
      <c r="C45" s="381" t="s">
        <v>339</v>
      </c>
      <c r="D45" s="381" t="s">
        <v>340</v>
      </c>
      <c r="E45" s="383">
        <v>30</v>
      </c>
    </row>
    <row r="46" spans="2:7" ht="15.75" customHeight="1">
      <c r="B46" s="380">
        <v>11</v>
      </c>
      <c r="C46" s="381" t="s">
        <v>341</v>
      </c>
      <c r="D46" s="381" t="s">
        <v>342</v>
      </c>
      <c r="E46" s="383">
        <v>59.5</v>
      </c>
    </row>
    <row r="47" spans="2:7" ht="15.75" customHeight="1">
      <c r="B47" s="380">
        <v>12</v>
      </c>
      <c r="C47" s="381" t="s">
        <v>343</v>
      </c>
      <c r="D47" s="381" t="s">
        <v>16</v>
      </c>
      <c r="E47" s="383">
        <v>82.5</v>
      </c>
    </row>
    <row r="48" spans="2:7" ht="15.75" customHeight="1">
      <c r="B48" s="380">
        <v>13</v>
      </c>
      <c r="C48" s="381" t="s">
        <v>344</v>
      </c>
      <c r="D48" s="381" t="s">
        <v>16</v>
      </c>
      <c r="E48" s="383">
        <v>35</v>
      </c>
    </row>
    <row r="49" spans="2:6" ht="15.75" customHeight="1">
      <c r="B49" s="380">
        <v>14</v>
      </c>
      <c r="C49" s="381" t="s">
        <v>345</v>
      </c>
      <c r="D49" s="381" t="s">
        <v>328</v>
      </c>
      <c r="E49" s="383">
        <v>30</v>
      </c>
    </row>
    <row r="50" spans="2:6" ht="15.75" customHeight="1">
      <c r="B50" s="380">
        <v>15</v>
      </c>
      <c r="C50" s="381" t="s">
        <v>346</v>
      </c>
      <c r="D50" s="381" t="s">
        <v>16</v>
      </c>
      <c r="E50" s="383">
        <v>470.1</v>
      </c>
    </row>
    <row r="51" spans="2:6" ht="15.75" customHeight="1">
      <c r="B51" s="380">
        <v>16</v>
      </c>
      <c r="C51" s="381" t="s">
        <v>347</v>
      </c>
      <c r="D51" s="381" t="s">
        <v>328</v>
      </c>
      <c r="E51" s="383">
        <v>64.7</v>
      </c>
    </row>
    <row r="52" spans="2:6" ht="15.75" customHeight="1">
      <c r="B52" s="380">
        <v>17</v>
      </c>
      <c r="C52" s="381" t="s">
        <v>348</v>
      </c>
      <c r="D52" s="381" t="s">
        <v>16</v>
      </c>
      <c r="E52" s="383">
        <v>20</v>
      </c>
    </row>
    <row r="53" spans="2:6" ht="15.75" customHeight="1">
      <c r="B53" s="380">
        <v>18</v>
      </c>
      <c r="C53" s="381" t="s">
        <v>349</v>
      </c>
      <c r="D53" s="381" t="s">
        <v>328</v>
      </c>
      <c r="E53" s="383">
        <v>5.39</v>
      </c>
    </row>
    <row r="54" spans="2:6" ht="15.75" customHeight="1">
      <c r="B54" s="380">
        <v>19</v>
      </c>
      <c r="C54" s="381" t="s">
        <v>350</v>
      </c>
      <c r="D54" s="381" t="s">
        <v>16</v>
      </c>
      <c r="E54" s="383">
        <v>64.635000000000005</v>
      </c>
    </row>
    <row r="55" spans="2:6" ht="15.75" customHeight="1">
      <c r="B55" s="380">
        <v>20</v>
      </c>
      <c r="C55" s="381" t="s">
        <v>351</v>
      </c>
      <c r="D55" s="381" t="s">
        <v>16</v>
      </c>
      <c r="E55" s="383">
        <v>6300</v>
      </c>
    </row>
    <row r="56" spans="2:6" ht="15.75" customHeight="1">
      <c r="B56" s="380">
        <v>21</v>
      </c>
      <c r="C56" s="381" t="s">
        <v>352</v>
      </c>
      <c r="D56" s="381" t="s">
        <v>328</v>
      </c>
      <c r="E56" s="382">
        <f>F32</f>
        <v>5</v>
      </c>
    </row>
    <row r="57" spans="2:6" ht="15.75" customHeight="1">
      <c r="B57" s="380">
        <v>22</v>
      </c>
      <c r="C57" s="381" t="s">
        <v>353</v>
      </c>
      <c r="D57" s="381" t="s">
        <v>354</v>
      </c>
      <c r="E57" s="382">
        <f>F33</f>
        <v>125</v>
      </c>
    </row>
    <row r="58" spans="2:6" ht="15.75" customHeight="1">
      <c r="D58" s="56" t="s">
        <v>133</v>
      </c>
      <c r="E58" s="55">
        <f>SUM(E36:E57)</f>
        <v>8890.4889999999996</v>
      </c>
      <c r="F58" s="56" t="s">
        <v>355</v>
      </c>
    </row>
    <row r="59" spans="2:6" ht="15.75" customHeight="1">
      <c r="E59" s="55">
        <f>E58*365</f>
        <v>3245028.4849999999</v>
      </c>
      <c r="F59" s="56" t="s">
        <v>356</v>
      </c>
    </row>
    <row r="60" spans="2:6" ht="15.75" customHeight="1"/>
    <row r="61" spans="2:6" ht="15.75" customHeight="1"/>
    <row r="62" spans="2:6" ht="15.75" customHeight="1"/>
    <row r="63" spans="2:6" ht="15.75" customHeight="1"/>
    <row r="64" spans="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22" ht="15.75" customHeight="1"/>
    <row r="82" spans="2:22" ht="15.75" customHeight="1"/>
    <row r="83" spans="2:22" ht="15.75" customHeight="1"/>
    <row r="84" spans="2:22" ht="15.75" customHeight="1"/>
    <row r="85" spans="2:22" ht="15.75" customHeight="1"/>
    <row r="86" spans="2:22" ht="15.75" customHeight="1"/>
    <row r="87" spans="2:22" ht="15.75" customHeight="1"/>
    <row r="88" spans="2:22" ht="15.75" customHeight="1">
      <c r="B88" s="486"/>
      <c r="C88" s="486"/>
      <c r="D88" s="486"/>
      <c r="E88" s="486"/>
      <c r="F88" s="486"/>
      <c r="G88" s="486"/>
      <c r="H88" s="486"/>
      <c r="I88" s="486"/>
      <c r="J88" s="486"/>
      <c r="K88" s="486"/>
      <c r="L88" s="486"/>
      <c r="M88" s="486"/>
      <c r="N88" s="486"/>
      <c r="O88" s="486"/>
      <c r="P88" s="486"/>
      <c r="Q88" s="486"/>
      <c r="R88" s="486"/>
      <c r="S88" s="486"/>
      <c r="T88" s="486"/>
      <c r="U88" s="486"/>
      <c r="V88" s="486"/>
    </row>
    <row r="89" spans="2:22" ht="15.75" customHeight="1">
      <c r="B89" s="486"/>
      <c r="C89" s="486"/>
      <c r="D89" s="486"/>
      <c r="E89" s="486"/>
      <c r="F89" s="486"/>
      <c r="G89" s="486"/>
      <c r="H89" s="486"/>
      <c r="I89" s="486"/>
      <c r="J89" s="486"/>
      <c r="K89" s="486"/>
      <c r="L89" s="486"/>
      <c r="M89" s="486"/>
      <c r="N89" s="486"/>
      <c r="O89" s="486"/>
      <c r="P89" s="486"/>
      <c r="Q89" s="486"/>
      <c r="R89" s="486"/>
      <c r="S89" s="486"/>
      <c r="T89" s="486"/>
      <c r="U89" s="486"/>
      <c r="V89" s="486"/>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t="s">
        <v>528</v>
      </c>
      <c r="C91" s="486"/>
      <c r="D91" s="486">
        <f>D89+D90</f>
        <v>0</v>
      </c>
      <c r="E91" s="486">
        <f t="shared" ref="E91:V91" si="1">E89+E90</f>
        <v>0</v>
      </c>
      <c r="F91" s="486">
        <f t="shared" si="1"/>
        <v>0</v>
      </c>
      <c r="G91" s="486">
        <f t="shared" si="1"/>
        <v>0</v>
      </c>
      <c r="H91" s="486">
        <f t="shared" si="1"/>
        <v>0</v>
      </c>
      <c r="I91" s="486">
        <f t="shared" si="1"/>
        <v>0</v>
      </c>
      <c r="J91" s="486">
        <f t="shared" si="1"/>
        <v>0</v>
      </c>
      <c r="K91" s="486">
        <f t="shared" si="1"/>
        <v>0</v>
      </c>
      <c r="L91" s="486">
        <f t="shared" si="1"/>
        <v>0</v>
      </c>
      <c r="M91" s="486">
        <f t="shared" si="1"/>
        <v>0</v>
      </c>
      <c r="N91" s="486">
        <f t="shared" si="1"/>
        <v>0</v>
      </c>
      <c r="O91" s="486">
        <f t="shared" si="1"/>
        <v>0</v>
      </c>
      <c r="P91" s="486">
        <f t="shared" si="1"/>
        <v>0</v>
      </c>
      <c r="Q91" s="486">
        <f t="shared" si="1"/>
        <v>0</v>
      </c>
      <c r="R91" s="486">
        <f t="shared" si="1"/>
        <v>0</v>
      </c>
      <c r="S91" s="486">
        <f t="shared" si="1"/>
        <v>0</v>
      </c>
      <c r="T91" s="486">
        <f t="shared" si="1"/>
        <v>0</v>
      </c>
      <c r="U91" s="486">
        <f t="shared" si="1"/>
        <v>0</v>
      </c>
      <c r="V91" s="486">
        <f t="shared" si="1"/>
        <v>0</v>
      </c>
    </row>
    <row r="92" spans="2:22" ht="15.75" customHeight="1"/>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c r="B94" s="486"/>
      <c r="C94" s="486"/>
      <c r="D94" s="486"/>
      <c r="E94" s="486"/>
      <c r="F94" s="486"/>
      <c r="G94" s="486"/>
      <c r="H94" s="486"/>
      <c r="I94" s="486"/>
      <c r="J94" s="486"/>
      <c r="K94" s="486"/>
      <c r="L94" s="486"/>
      <c r="M94" s="486"/>
      <c r="N94" s="486"/>
      <c r="O94" s="486"/>
      <c r="P94" s="486"/>
      <c r="Q94" s="486"/>
      <c r="R94" s="486"/>
      <c r="S94" s="486"/>
      <c r="T94" s="486"/>
      <c r="U94" s="486"/>
      <c r="V94" s="486"/>
    </row>
    <row r="95" spans="2:22" ht="15.75" customHeight="1">
      <c r="B95" s="486"/>
      <c r="C95" s="486"/>
      <c r="D95" s="486"/>
      <c r="E95" s="486"/>
      <c r="F95" s="486"/>
      <c r="G95" s="486"/>
      <c r="H95" s="486"/>
      <c r="I95" s="486"/>
      <c r="J95" s="486"/>
      <c r="K95" s="486"/>
      <c r="L95" s="486"/>
      <c r="M95" s="486"/>
      <c r="N95" s="486"/>
      <c r="O95" s="486"/>
      <c r="P95" s="486"/>
      <c r="Q95" s="486"/>
      <c r="R95" s="486"/>
      <c r="S95" s="486"/>
      <c r="T95" s="486"/>
      <c r="U95" s="486"/>
      <c r="V95" s="486"/>
    </row>
    <row r="96" spans="2:22" ht="15.75" customHeight="1">
      <c r="B96" s="486" t="s">
        <v>133</v>
      </c>
      <c r="C96" s="486"/>
      <c r="D96" s="486">
        <f>D94+D95</f>
        <v>0</v>
      </c>
      <c r="E96" s="486">
        <f t="shared" ref="E96:V96" si="2">E94+E95</f>
        <v>0</v>
      </c>
      <c r="F96" s="486">
        <f t="shared" si="2"/>
        <v>0</v>
      </c>
      <c r="G96" s="486">
        <f t="shared" si="2"/>
        <v>0</v>
      </c>
      <c r="H96" s="486">
        <f t="shared" si="2"/>
        <v>0</v>
      </c>
      <c r="I96" s="486">
        <f t="shared" si="2"/>
        <v>0</v>
      </c>
      <c r="J96" s="486">
        <f t="shared" si="2"/>
        <v>0</v>
      </c>
      <c r="K96" s="486">
        <f t="shared" si="2"/>
        <v>0</v>
      </c>
      <c r="L96" s="486">
        <f t="shared" si="2"/>
        <v>0</v>
      </c>
      <c r="M96" s="486">
        <f t="shared" si="2"/>
        <v>0</v>
      </c>
      <c r="N96" s="486">
        <f t="shared" si="2"/>
        <v>0</v>
      </c>
      <c r="O96" s="486">
        <f t="shared" si="2"/>
        <v>0</v>
      </c>
      <c r="P96" s="486">
        <f t="shared" si="2"/>
        <v>0</v>
      </c>
      <c r="Q96" s="486">
        <f t="shared" si="2"/>
        <v>0</v>
      </c>
      <c r="R96" s="486">
        <f t="shared" si="2"/>
        <v>0</v>
      </c>
      <c r="S96" s="486">
        <f t="shared" si="2"/>
        <v>0</v>
      </c>
      <c r="T96" s="486">
        <f t="shared" si="2"/>
        <v>0</v>
      </c>
      <c r="U96" s="486">
        <f t="shared" si="2"/>
        <v>0</v>
      </c>
      <c r="V96" s="486">
        <f t="shared" si="2"/>
        <v>0</v>
      </c>
    </row>
    <row r="97" spans="2:22" ht="15.75" customHeight="1"/>
    <row r="98" spans="2:22" ht="15.75" customHeight="1">
      <c r="B98" s="486" t="s">
        <v>529</v>
      </c>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c r="B99" s="486"/>
      <c r="C99" s="486"/>
      <c r="D99" s="486"/>
      <c r="E99" s="486"/>
      <c r="F99" s="486"/>
      <c r="G99" s="486"/>
      <c r="H99" s="486"/>
      <c r="I99" s="486"/>
      <c r="J99" s="486"/>
      <c r="K99" s="486"/>
      <c r="L99" s="486"/>
      <c r="M99" s="486"/>
      <c r="N99" s="486"/>
      <c r="O99" s="486"/>
      <c r="P99" s="486"/>
      <c r="Q99" s="486"/>
      <c r="R99" s="486"/>
      <c r="S99" s="486"/>
      <c r="T99" s="486"/>
      <c r="U99" s="486"/>
      <c r="V99" s="486"/>
    </row>
    <row r="100" spans="2:22" ht="15.75" customHeight="1">
      <c r="B100" s="486"/>
      <c r="C100" s="486"/>
      <c r="D100" s="486"/>
      <c r="E100" s="486"/>
      <c r="F100" s="486"/>
      <c r="G100" s="486"/>
      <c r="H100" s="486"/>
      <c r="I100" s="486"/>
      <c r="J100" s="486"/>
      <c r="K100" s="486"/>
      <c r="L100" s="486"/>
      <c r="M100" s="486"/>
      <c r="N100" s="486"/>
      <c r="O100" s="486"/>
      <c r="P100" s="486"/>
      <c r="Q100" s="486"/>
      <c r="R100" s="486"/>
      <c r="S100" s="486"/>
      <c r="T100" s="486"/>
      <c r="U100" s="486"/>
      <c r="V100" s="486"/>
    </row>
    <row r="101" spans="2:22" ht="15.75" customHeight="1">
      <c r="B101" s="486" t="s">
        <v>133</v>
      </c>
      <c r="C101" s="486"/>
      <c r="D101" s="486">
        <f>D99+D100</f>
        <v>0</v>
      </c>
      <c r="E101" s="486">
        <f t="shared" ref="E101:V101" si="3">E99+E100</f>
        <v>0</v>
      </c>
      <c r="F101" s="486">
        <f t="shared" si="3"/>
        <v>0</v>
      </c>
      <c r="G101" s="486">
        <f t="shared" si="3"/>
        <v>0</v>
      </c>
      <c r="H101" s="486">
        <f t="shared" si="3"/>
        <v>0</v>
      </c>
      <c r="I101" s="486">
        <f t="shared" si="3"/>
        <v>0</v>
      </c>
      <c r="J101" s="486">
        <f t="shared" si="3"/>
        <v>0</v>
      </c>
      <c r="K101" s="486">
        <f t="shared" si="3"/>
        <v>0</v>
      </c>
      <c r="L101" s="486">
        <f t="shared" si="3"/>
        <v>0</v>
      </c>
      <c r="M101" s="486">
        <f t="shared" si="3"/>
        <v>0</v>
      </c>
      <c r="N101" s="486">
        <f t="shared" si="3"/>
        <v>0</v>
      </c>
      <c r="O101" s="486">
        <f t="shared" si="3"/>
        <v>0</v>
      </c>
      <c r="P101" s="486">
        <f t="shared" si="3"/>
        <v>0</v>
      </c>
      <c r="Q101" s="486">
        <f t="shared" si="3"/>
        <v>0</v>
      </c>
      <c r="R101" s="486">
        <f t="shared" si="3"/>
        <v>0</v>
      </c>
      <c r="S101" s="486">
        <f t="shared" si="3"/>
        <v>0</v>
      </c>
      <c r="T101" s="486">
        <f t="shared" si="3"/>
        <v>0</v>
      </c>
      <c r="U101" s="486">
        <f t="shared" si="3"/>
        <v>0</v>
      </c>
      <c r="V101" s="486">
        <f t="shared" si="3"/>
        <v>0</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2">
    <mergeCell ref="B3:B4"/>
    <mergeCell ref="C3:U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FCCC-F530-451C-A9E0-203BCC4094F1}">
  <sheetPr>
    <tabColor theme="4" tint="0.59999389629810485"/>
    <outlinePr summaryBelow="0" summaryRight="0"/>
  </sheetPr>
  <dimension ref="B1:Z999"/>
  <sheetViews>
    <sheetView workbookViewId="0">
      <selection activeCell="C88" sqref="C88"/>
    </sheetView>
  </sheetViews>
  <sheetFormatPr defaultColWidth="12.6640625" defaultRowHeight="15" customHeight="1"/>
  <cols>
    <col min="1" max="1" width="12.6640625" style="10" customWidth="1"/>
    <col min="2" max="2" width="58.109375" style="10" customWidth="1"/>
    <col min="3" max="3" width="16.21875" style="10" customWidth="1"/>
    <col min="4" max="4" width="30.44140625" style="10" customWidth="1"/>
    <col min="5" max="6" width="12.6640625" style="10" customWidth="1"/>
    <col min="7" max="16384" width="12.6640625" style="10"/>
  </cols>
  <sheetData>
    <row r="1" spans="2:17" ht="15.75" customHeight="1"/>
    <row r="2" spans="2:17" ht="15.75" customHeight="1">
      <c r="B2" s="733" t="s">
        <v>357</v>
      </c>
      <c r="C2" s="688"/>
      <c r="D2" s="348"/>
      <c r="E2" s="348"/>
      <c r="F2" s="348"/>
      <c r="G2" s="348"/>
      <c r="H2" s="348"/>
      <c r="I2" s="348"/>
      <c r="J2" s="348"/>
      <c r="K2" s="348"/>
      <c r="L2" s="348"/>
      <c r="M2" s="348"/>
      <c r="N2" s="348"/>
      <c r="O2" s="348"/>
      <c r="P2" s="348"/>
      <c r="Q2" s="348"/>
    </row>
    <row r="3" spans="2:17" ht="15.75" customHeight="1">
      <c r="B3" s="348"/>
      <c r="C3" s="306"/>
      <c r="D3" s="306"/>
      <c r="E3" s="306"/>
      <c r="F3" s="348"/>
      <c r="G3" s="348"/>
      <c r="H3" s="348"/>
      <c r="I3" s="348"/>
      <c r="J3" s="348"/>
      <c r="K3" s="348"/>
      <c r="L3" s="348"/>
      <c r="M3" s="348"/>
      <c r="N3" s="348"/>
      <c r="O3" s="348"/>
      <c r="P3" s="348"/>
      <c r="Q3" s="348"/>
    </row>
    <row r="4" spans="2:17" ht="15.75" customHeight="1">
      <c r="B4" s="307" t="s">
        <v>238</v>
      </c>
      <c r="C4" s="308" t="s">
        <v>239</v>
      </c>
      <c r="D4" s="361"/>
      <c r="E4" s="361"/>
      <c r="F4" s="348"/>
      <c r="G4" s="348"/>
      <c r="H4" s="348"/>
      <c r="I4" s="348"/>
      <c r="J4" s="348"/>
      <c r="K4" s="348"/>
      <c r="L4" s="348"/>
      <c r="M4" s="348"/>
      <c r="N4" s="348"/>
      <c r="O4" s="348"/>
      <c r="P4" s="348"/>
      <c r="Q4" s="348"/>
    </row>
    <row r="5" spans="2:17" ht="15.75" customHeight="1">
      <c r="B5" s="309" t="s">
        <v>240</v>
      </c>
      <c r="C5" s="310">
        <v>0.55000000000000004</v>
      </c>
      <c r="D5" s="341"/>
      <c r="E5" s="341"/>
      <c r="F5" s="348"/>
      <c r="G5" s="348"/>
      <c r="H5" s="348"/>
      <c r="I5" s="348"/>
      <c r="J5" s="348"/>
      <c r="K5" s="348"/>
      <c r="L5" s="348"/>
      <c r="M5" s="348"/>
      <c r="N5" s="348"/>
      <c r="O5" s="348"/>
      <c r="P5" s="348"/>
      <c r="Q5" s="348"/>
    </row>
    <row r="6" spans="2:17" ht="15.75" customHeight="1">
      <c r="B6" s="309" t="s">
        <v>14</v>
      </c>
      <c r="C6" s="310">
        <v>3</v>
      </c>
      <c r="D6" s="341"/>
      <c r="E6" s="341"/>
      <c r="F6" s="348"/>
      <c r="G6" s="348"/>
      <c r="H6" s="348"/>
      <c r="I6" s="348"/>
      <c r="J6" s="348"/>
      <c r="K6" s="348"/>
      <c r="L6" s="348"/>
      <c r="M6" s="348"/>
      <c r="N6" s="348"/>
      <c r="O6" s="348"/>
      <c r="P6" s="348"/>
      <c r="Q6" s="348"/>
    </row>
    <row r="7" spans="2:17" ht="15.75" customHeight="1">
      <c r="B7" s="309" t="s">
        <v>241</v>
      </c>
      <c r="C7" s="310">
        <v>2.5</v>
      </c>
      <c r="D7" s="341"/>
      <c r="E7" s="341"/>
      <c r="F7" s="348"/>
      <c r="G7" s="348"/>
      <c r="H7" s="348"/>
      <c r="I7" s="348"/>
      <c r="J7" s="348"/>
      <c r="K7" s="348"/>
      <c r="L7" s="348"/>
      <c r="M7" s="348"/>
      <c r="N7" s="348"/>
      <c r="O7" s="348"/>
      <c r="P7" s="348"/>
      <c r="Q7" s="348"/>
    </row>
    <row r="8" spans="2:17" ht="15.75" customHeight="1">
      <c r="B8" s="309" t="s">
        <v>242</v>
      </c>
      <c r="C8" s="310">
        <v>9</v>
      </c>
      <c r="D8" s="341"/>
      <c r="E8" s="341"/>
      <c r="F8" s="348"/>
      <c r="G8" s="348"/>
      <c r="H8" s="348"/>
      <c r="I8" s="348"/>
      <c r="J8" s="348"/>
      <c r="K8" s="348"/>
      <c r="L8" s="348"/>
      <c r="M8" s="348"/>
      <c r="N8" s="348"/>
      <c r="O8" s="348"/>
      <c r="P8" s="348"/>
      <c r="Q8" s="348"/>
    </row>
    <row r="9" spans="2:17" ht="15.75" customHeight="1">
      <c r="B9" s="309" t="s">
        <v>15</v>
      </c>
      <c r="C9" s="310">
        <v>1</v>
      </c>
      <c r="D9" s="341"/>
      <c r="E9" s="341"/>
      <c r="F9" s="348"/>
      <c r="G9" s="348"/>
      <c r="H9" s="348"/>
      <c r="I9" s="348"/>
      <c r="J9" s="348"/>
      <c r="K9" s="348"/>
      <c r="L9" s="348"/>
      <c r="M9" s="348"/>
      <c r="N9" s="348"/>
      <c r="O9" s="348"/>
      <c r="P9" s="348"/>
      <c r="Q9" s="348"/>
    </row>
    <row r="10" spans="2:17" ht="15.75" customHeight="1">
      <c r="B10" s="309" t="s">
        <v>16</v>
      </c>
      <c r="C10" s="310">
        <v>2.2400000000000002</v>
      </c>
      <c r="D10" s="341"/>
      <c r="E10" s="341"/>
      <c r="F10" s="348"/>
      <c r="G10" s="348"/>
      <c r="H10" s="348"/>
      <c r="I10" s="348"/>
      <c r="J10" s="348"/>
      <c r="K10" s="348"/>
      <c r="L10" s="348"/>
      <c r="M10" s="348"/>
      <c r="N10" s="348"/>
      <c r="O10" s="348"/>
      <c r="P10" s="348"/>
      <c r="Q10" s="348"/>
    </row>
    <row r="11" spans="2:17" ht="15.75" customHeight="1">
      <c r="B11" s="311" t="s">
        <v>17</v>
      </c>
      <c r="C11" s="312">
        <v>5</v>
      </c>
      <c r="D11" s="341" t="s">
        <v>358</v>
      </c>
      <c r="E11" s="341"/>
      <c r="F11" s="348"/>
      <c r="G11" s="348"/>
      <c r="H11" s="348"/>
      <c r="I11" s="348"/>
      <c r="J11" s="348"/>
      <c r="K11" s="348"/>
      <c r="L11" s="348"/>
      <c r="M11" s="348"/>
      <c r="N11" s="348"/>
      <c r="O11" s="348"/>
      <c r="P11" s="348"/>
      <c r="Q11" s="348"/>
    </row>
    <row r="12" spans="2:17" ht="15.75" customHeight="1">
      <c r="B12" s="309" t="s">
        <v>18</v>
      </c>
      <c r="C12" s="310">
        <v>5.9</v>
      </c>
      <c r="D12" s="341"/>
      <c r="E12" s="341"/>
      <c r="F12" s="348"/>
      <c r="G12" s="348"/>
      <c r="H12" s="348"/>
      <c r="I12" s="348"/>
      <c r="J12" s="348"/>
      <c r="K12" s="348"/>
      <c r="L12" s="348"/>
      <c r="M12" s="348"/>
      <c r="N12" s="348"/>
      <c r="O12" s="348"/>
      <c r="P12" s="348"/>
      <c r="Q12" s="348"/>
    </row>
    <row r="13" spans="2:17" ht="15.75" customHeight="1">
      <c r="B13" s="309" t="s">
        <v>19</v>
      </c>
      <c r="C13" s="310">
        <v>6.12</v>
      </c>
      <c r="D13" s="341"/>
      <c r="E13" s="341"/>
      <c r="F13" s="348"/>
      <c r="G13" s="348"/>
      <c r="H13" s="348"/>
      <c r="I13" s="348"/>
      <c r="J13" s="348"/>
      <c r="K13" s="348"/>
      <c r="L13" s="348"/>
      <c r="M13" s="348"/>
      <c r="N13" s="348"/>
      <c r="O13" s="348"/>
      <c r="P13" s="348"/>
      <c r="Q13" s="348"/>
    </row>
    <row r="14" spans="2:17" ht="15.75" customHeight="1">
      <c r="B14" s="309" t="s">
        <v>20</v>
      </c>
      <c r="C14" s="310">
        <v>3.1</v>
      </c>
      <c r="D14" s="341"/>
      <c r="E14" s="341"/>
      <c r="F14" s="348"/>
      <c r="G14" s="348"/>
      <c r="H14" s="348"/>
      <c r="I14" s="348"/>
      <c r="J14" s="348"/>
      <c r="K14" s="348"/>
      <c r="L14" s="348"/>
      <c r="M14" s="348"/>
      <c r="N14" s="348"/>
      <c r="O14" s="348"/>
      <c r="P14" s="348"/>
      <c r="Q14" s="348"/>
    </row>
    <row r="15" spans="2:17" ht="15.75" customHeight="1">
      <c r="B15" s="313" t="s">
        <v>243</v>
      </c>
      <c r="C15" s="314">
        <v>2.5</v>
      </c>
      <c r="D15" s="341"/>
      <c r="E15" s="341"/>
      <c r="F15" s="348"/>
      <c r="G15" s="348"/>
      <c r="H15" s="348"/>
      <c r="I15" s="348"/>
      <c r="J15" s="348"/>
      <c r="K15" s="348"/>
      <c r="L15" s="348"/>
      <c r="M15" s="348"/>
      <c r="N15" s="348"/>
      <c r="O15" s="348"/>
      <c r="P15" s="348"/>
      <c r="Q15" s="348"/>
    </row>
    <row r="16" spans="2:17" ht="15.75" customHeight="1">
      <c r="B16" s="348"/>
      <c r="C16" s="341"/>
      <c r="D16" s="341"/>
      <c r="E16" s="341"/>
      <c r="F16" s="348"/>
      <c r="G16" s="348"/>
      <c r="H16" s="348"/>
      <c r="I16" s="348"/>
      <c r="J16" s="348"/>
      <c r="K16" s="348"/>
      <c r="L16" s="348"/>
      <c r="M16" s="348"/>
      <c r="N16" s="348"/>
      <c r="O16" s="348"/>
      <c r="P16" s="348"/>
      <c r="Q16" s="348"/>
    </row>
    <row r="17" spans="2:22" ht="15.75" customHeight="1">
      <c r="B17" s="348"/>
      <c r="C17" s="348"/>
      <c r="D17" s="348"/>
      <c r="E17" s="348"/>
      <c r="F17" s="348"/>
      <c r="G17" s="348"/>
      <c r="H17" s="348"/>
      <c r="I17" s="348"/>
      <c r="J17" s="348"/>
      <c r="K17" s="348"/>
      <c r="L17" s="348"/>
      <c r="M17" s="348"/>
      <c r="N17" s="348"/>
      <c r="O17" s="348"/>
      <c r="P17" s="348"/>
      <c r="Q17" s="348"/>
    </row>
    <row r="18" spans="2:22" ht="15.75" customHeight="1">
      <c r="B18" s="315" t="s">
        <v>244</v>
      </c>
      <c r="C18" s="316" t="s">
        <v>246</v>
      </c>
      <c r="D18" s="316">
        <v>2005</v>
      </c>
      <c r="E18" s="316">
        <v>2006</v>
      </c>
      <c r="F18" s="316">
        <v>2007</v>
      </c>
      <c r="G18" s="316">
        <v>2008</v>
      </c>
      <c r="H18" s="316">
        <v>2009</v>
      </c>
      <c r="I18" s="316">
        <v>2010</v>
      </c>
      <c r="J18" s="316">
        <v>2011</v>
      </c>
      <c r="K18" s="316">
        <v>2012</v>
      </c>
      <c r="L18" s="316">
        <v>2013</v>
      </c>
      <c r="M18" s="316">
        <v>2014</v>
      </c>
      <c r="N18" s="316">
        <v>2015</v>
      </c>
      <c r="O18" s="316">
        <v>2016</v>
      </c>
      <c r="P18" s="316">
        <v>2017</v>
      </c>
      <c r="Q18" s="316">
        <v>2018</v>
      </c>
      <c r="R18" s="317">
        <v>2019</v>
      </c>
      <c r="S18" s="317">
        <v>2020</v>
      </c>
      <c r="T18" s="317">
        <v>2021</v>
      </c>
      <c r="U18" s="318">
        <v>2022</v>
      </c>
      <c r="V18" s="367">
        <v>2023</v>
      </c>
    </row>
    <row r="19" spans="2:22" ht="15.75" customHeight="1">
      <c r="B19" s="319" t="s">
        <v>0</v>
      </c>
      <c r="C19" s="320" t="s">
        <v>245</v>
      </c>
      <c r="D19" s="356">
        <f>(('State _production_meat'!D6*0.25)+('State _production_meat'!E6*0.75))</f>
        <v>22684.75</v>
      </c>
      <c r="E19" s="356">
        <f>(('State _production_meat'!E6*0.25)+('State _production_meat'!F6*0.75))</f>
        <v>22684.75</v>
      </c>
      <c r="F19" s="356">
        <f>(('State _production_meat'!F6*0.25)+('State _production_meat'!G6*0.75))</f>
        <v>22684.75</v>
      </c>
      <c r="G19" s="356">
        <f>(('State _production_meat'!G6*0.25)+('State _production_meat'!H6*0.75))</f>
        <v>22684.75</v>
      </c>
      <c r="H19" s="356">
        <f>(('State _production_meat'!H6*0.25)+('State _production_meat'!I6*0.75))</f>
        <v>22684.75</v>
      </c>
      <c r="I19" s="356">
        <f>(('State _production_meat'!I6*0.25)+('State _production_meat'!J6*0.75))</f>
        <v>22684.75</v>
      </c>
      <c r="J19" s="356">
        <f>(('State _production_meat'!J6*0.25)+('State _production_meat'!K6*0.75))</f>
        <v>22684.75</v>
      </c>
      <c r="K19" s="356">
        <f>(('State _production_meat'!K6*0.25)+('State _production_meat'!L6*0.75))</f>
        <v>22684.75</v>
      </c>
      <c r="L19" s="356">
        <f>(('State _production_meat'!L6*0.25)+('State _production_meat'!M6*0.75))</f>
        <v>22684.75</v>
      </c>
      <c r="M19" s="356">
        <f>(('State _production_meat'!M6*0.25)+('State _production_meat'!N6*0.75))</f>
        <v>22684.75</v>
      </c>
      <c r="N19" s="356">
        <f>(('State _production_meat'!N6*0.25)+('State _production_meat'!O6*0.75))</f>
        <v>22684.75</v>
      </c>
      <c r="O19" s="356">
        <f>(('State _production_meat'!O6*0.25)+('State _production_meat'!P6*0.75))</f>
        <v>22684.75</v>
      </c>
      <c r="P19" s="356">
        <f>(('State _production_meat'!P6*0.25)+('State _production_meat'!Q6*0.75))</f>
        <v>22684.75</v>
      </c>
      <c r="Q19" s="356">
        <f>(('State _production_meat'!Q6*0.25)+('State _production_meat'!R6*0.75))</f>
        <v>22684.75</v>
      </c>
      <c r="R19" s="356">
        <f>(('State _production_meat'!R6*0.25)+('State _production_meat'!S6*0.75))</f>
        <v>22684.75</v>
      </c>
      <c r="S19" s="356">
        <f>(('State _production_meat'!S6*0.25)+('State _production_meat'!T6*0.75))</f>
        <v>22684.75</v>
      </c>
      <c r="T19" s="356">
        <f>(('State _production_meat'!T6*0.25)+('State _production_meat'!U6*0.75))</f>
        <v>22684.75</v>
      </c>
      <c r="U19" s="356">
        <f>(('State _production_meat'!U6*0.25)+('State _production_meat'!V6*0.75))</f>
        <v>22684.75</v>
      </c>
      <c r="V19" s="356">
        <f>(('State _production_meat'!V6*0.25)+('State _production_meat'!W6*0.75))</f>
        <v>22684.75</v>
      </c>
    </row>
    <row r="20" spans="2:22" ht="15.75" customHeight="1">
      <c r="B20" s="371"/>
      <c r="C20" s="361"/>
      <c r="D20" s="341"/>
      <c r="E20" s="341"/>
      <c r="F20" s="341"/>
      <c r="G20" s="341"/>
      <c r="H20" s="341"/>
      <c r="I20" s="341"/>
      <c r="J20" s="341"/>
      <c r="K20" s="341"/>
      <c r="L20" s="386"/>
      <c r="M20" s="386"/>
      <c r="N20" s="386"/>
      <c r="O20" s="386"/>
      <c r="P20" s="386"/>
      <c r="Q20" s="386"/>
      <c r="R20" s="387"/>
      <c r="S20" s="387"/>
      <c r="T20" s="387"/>
    </row>
    <row r="21" spans="2:22" ht="15.75" customHeight="1">
      <c r="B21" s="319" t="s">
        <v>359</v>
      </c>
      <c r="C21" s="320"/>
      <c r="D21" s="326">
        <f t="shared" ref="D21:V21" si="0">D19/365</f>
        <v>62.15</v>
      </c>
      <c r="E21" s="326">
        <f t="shared" si="0"/>
        <v>62.15</v>
      </c>
      <c r="F21" s="326">
        <f t="shared" si="0"/>
        <v>62.15</v>
      </c>
      <c r="G21" s="326">
        <f t="shared" si="0"/>
        <v>62.15</v>
      </c>
      <c r="H21" s="326">
        <f t="shared" si="0"/>
        <v>62.15</v>
      </c>
      <c r="I21" s="326">
        <f t="shared" si="0"/>
        <v>62.15</v>
      </c>
      <c r="J21" s="326">
        <f t="shared" si="0"/>
        <v>62.15</v>
      </c>
      <c r="K21" s="326">
        <f t="shared" si="0"/>
        <v>62.15</v>
      </c>
      <c r="L21" s="326">
        <f t="shared" si="0"/>
        <v>62.15</v>
      </c>
      <c r="M21" s="326">
        <f t="shared" si="0"/>
        <v>62.15</v>
      </c>
      <c r="N21" s="326">
        <f t="shared" si="0"/>
        <v>62.15</v>
      </c>
      <c r="O21" s="326">
        <f t="shared" si="0"/>
        <v>62.15</v>
      </c>
      <c r="P21" s="326">
        <f t="shared" si="0"/>
        <v>62.15</v>
      </c>
      <c r="Q21" s="326">
        <f t="shared" si="0"/>
        <v>62.15</v>
      </c>
      <c r="R21" s="326">
        <f t="shared" si="0"/>
        <v>62.15</v>
      </c>
      <c r="S21" s="326">
        <f t="shared" si="0"/>
        <v>62.15</v>
      </c>
      <c r="T21" s="326">
        <f t="shared" si="0"/>
        <v>62.15</v>
      </c>
      <c r="U21" s="326">
        <f t="shared" si="0"/>
        <v>62.15</v>
      </c>
      <c r="V21" s="326">
        <f t="shared" si="0"/>
        <v>62.15</v>
      </c>
    </row>
    <row r="22" spans="2:22" ht="15.75" customHeight="1">
      <c r="B22" s="354"/>
      <c r="C22" s="361"/>
      <c r="D22" s="361"/>
      <c r="E22" s="361"/>
      <c r="F22" s="361"/>
      <c r="G22" s="361"/>
      <c r="H22" s="361"/>
      <c r="I22" s="361"/>
      <c r="J22" s="361"/>
      <c r="K22" s="361"/>
      <c r="L22" s="361"/>
      <c r="M22" s="361"/>
      <c r="N22" s="361"/>
      <c r="O22" s="361"/>
      <c r="P22" s="361"/>
      <c r="Q22" s="361"/>
      <c r="R22" s="55"/>
      <c r="S22" s="55"/>
      <c r="T22" s="55"/>
    </row>
    <row r="23" spans="2:22" ht="15.75" customHeight="1">
      <c r="B23" s="388" t="s">
        <v>293</v>
      </c>
      <c r="C23" s="389">
        <v>0.62549999999999994</v>
      </c>
      <c r="D23" s="389" t="s">
        <v>248</v>
      </c>
      <c r="E23" s="389">
        <f>C23*10^6</f>
        <v>625500</v>
      </c>
      <c r="F23" s="389" t="s">
        <v>249</v>
      </c>
      <c r="G23" s="389"/>
      <c r="H23" s="389"/>
      <c r="I23" s="389"/>
      <c r="J23" s="389"/>
      <c r="K23" s="389"/>
      <c r="L23" s="389"/>
      <c r="M23" s="389"/>
      <c r="N23" s="389"/>
      <c r="O23" s="389"/>
      <c r="P23" s="389"/>
      <c r="Q23" s="389"/>
      <c r="R23" s="324"/>
      <c r="S23" s="324"/>
      <c r="T23" s="324"/>
    </row>
    <row r="24" spans="2:22" ht="15.75" customHeight="1">
      <c r="B24" s="388" t="s">
        <v>250</v>
      </c>
      <c r="C24" s="390">
        <f>((E23/S19)/1000)</f>
        <v>2.7573590187240326E-2</v>
      </c>
      <c r="D24" s="389"/>
      <c r="E24" s="389"/>
      <c r="F24" s="389"/>
      <c r="G24" s="389"/>
      <c r="H24" s="389"/>
      <c r="I24" s="389"/>
      <c r="J24" s="389"/>
      <c r="K24" s="389"/>
      <c r="L24" s="389"/>
      <c r="M24" s="389"/>
      <c r="N24" s="389"/>
      <c r="O24" s="389"/>
      <c r="P24" s="389"/>
      <c r="Q24" s="389"/>
      <c r="R24" s="324"/>
      <c r="S24" s="324"/>
      <c r="T24" s="324"/>
    </row>
    <row r="25" spans="2:22" ht="15.75" customHeight="1">
      <c r="B25" s="388"/>
      <c r="C25" s="389"/>
      <c r="D25" s="389"/>
      <c r="E25" s="389"/>
      <c r="F25" s="389"/>
      <c r="G25" s="389"/>
      <c r="H25" s="389"/>
      <c r="I25" s="389"/>
      <c r="J25" s="389"/>
      <c r="K25" s="389"/>
      <c r="L25" s="389"/>
      <c r="M25" s="389"/>
      <c r="N25" s="389"/>
      <c r="O25" s="389"/>
      <c r="P25" s="389"/>
      <c r="Q25" s="389"/>
      <c r="R25" s="324"/>
      <c r="S25" s="324"/>
      <c r="T25" s="324"/>
    </row>
    <row r="26" spans="2:22" ht="15.75" customHeight="1">
      <c r="B26" s="315" t="s">
        <v>251</v>
      </c>
      <c r="C26" s="316" t="s">
        <v>252</v>
      </c>
      <c r="D26" s="316">
        <v>2005</v>
      </c>
      <c r="E26" s="316">
        <v>2006</v>
      </c>
      <c r="F26" s="316">
        <v>2007</v>
      </c>
      <c r="G26" s="316">
        <v>2008</v>
      </c>
      <c r="H26" s="316">
        <v>2009</v>
      </c>
      <c r="I26" s="316">
        <v>2010</v>
      </c>
      <c r="J26" s="316">
        <v>2011</v>
      </c>
      <c r="K26" s="316">
        <v>2012</v>
      </c>
      <c r="L26" s="316">
        <v>2013</v>
      </c>
      <c r="M26" s="316">
        <v>2014</v>
      </c>
      <c r="N26" s="316">
        <v>2015</v>
      </c>
      <c r="O26" s="316">
        <v>2016</v>
      </c>
      <c r="P26" s="316">
        <v>2017</v>
      </c>
      <c r="Q26" s="316">
        <v>2018</v>
      </c>
      <c r="R26" s="317">
        <v>2019</v>
      </c>
      <c r="S26" s="317">
        <v>2020</v>
      </c>
      <c r="T26" s="317">
        <v>2021</v>
      </c>
      <c r="U26" s="318">
        <v>2022</v>
      </c>
      <c r="V26" s="367">
        <v>2023</v>
      </c>
    </row>
    <row r="27" spans="2:22" ht="15.75" customHeight="1">
      <c r="B27" s="319" t="s">
        <v>360</v>
      </c>
      <c r="C27" s="320" t="s">
        <v>253</v>
      </c>
      <c r="D27" s="391">
        <f t="shared" ref="D27:V27" si="1">$C$24</f>
        <v>2.7573590187240326E-2</v>
      </c>
      <c r="E27" s="391">
        <f t="shared" si="1"/>
        <v>2.7573590187240326E-2</v>
      </c>
      <c r="F27" s="391">
        <f t="shared" si="1"/>
        <v>2.7573590187240326E-2</v>
      </c>
      <c r="G27" s="391">
        <f t="shared" si="1"/>
        <v>2.7573590187240326E-2</v>
      </c>
      <c r="H27" s="391">
        <f t="shared" si="1"/>
        <v>2.7573590187240326E-2</v>
      </c>
      <c r="I27" s="391">
        <f t="shared" si="1"/>
        <v>2.7573590187240326E-2</v>
      </c>
      <c r="J27" s="391">
        <f t="shared" si="1"/>
        <v>2.7573590187240326E-2</v>
      </c>
      <c r="K27" s="391">
        <f t="shared" si="1"/>
        <v>2.7573590187240326E-2</v>
      </c>
      <c r="L27" s="391">
        <f t="shared" si="1"/>
        <v>2.7573590187240326E-2</v>
      </c>
      <c r="M27" s="391">
        <f t="shared" si="1"/>
        <v>2.7573590187240326E-2</v>
      </c>
      <c r="N27" s="391">
        <f t="shared" si="1"/>
        <v>2.7573590187240326E-2</v>
      </c>
      <c r="O27" s="391">
        <f t="shared" si="1"/>
        <v>2.7573590187240326E-2</v>
      </c>
      <c r="P27" s="391">
        <f t="shared" si="1"/>
        <v>2.7573590187240326E-2</v>
      </c>
      <c r="Q27" s="391">
        <f t="shared" si="1"/>
        <v>2.7573590187240326E-2</v>
      </c>
      <c r="R27" s="391">
        <f t="shared" si="1"/>
        <v>2.7573590187240326E-2</v>
      </c>
      <c r="S27" s="391">
        <f t="shared" si="1"/>
        <v>2.7573590187240326E-2</v>
      </c>
      <c r="T27" s="391">
        <f t="shared" si="1"/>
        <v>2.7573590187240326E-2</v>
      </c>
      <c r="U27" s="391">
        <f t="shared" si="1"/>
        <v>2.7573590187240326E-2</v>
      </c>
      <c r="V27" s="391">
        <f t="shared" si="1"/>
        <v>2.7573590187240326E-2</v>
      </c>
    </row>
    <row r="28" spans="2:22" ht="15.75" customHeight="1">
      <c r="B28" s="371"/>
      <c r="C28" s="361"/>
      <c r="D28" s="386"/>
      <c r="E28" s="386"/>
      <c r="F28" s="386"/>
      <c r="G28" s="386"/>
      <c r="H28" s="386"/>
      <c r="I28" s="386"/>
      <c r="J28" s="386"/>
      <c r="K28" s="386"/>
      <c r="L28" s="386"/>
      <c r="M28" s="386"/>
      <c r="N28" s="386"/>
      <c r="O28" s="386"/>
      <c r="P28" s="386"/>
      <c r="Q28" s="386"/>
    </row>
    <row r="29" spans="2:22" ht="15.75" customHeight="1">
      <c r="B29" s="315" t="s">
        <v>254</v>
      </c>
      <c r="C29" s="316" t="s">
        <v>255</v>
      </c>
      <c r="D29" s="316">
        <v>2005</v>
      </c>
      <c r="E29" s="316">
        <v>2006</v>
      </c>
      <c r="F29" s="316">
        <v>2007</v>
      </c>
      <c r="G29" s="316">
        <v>2008</v>
      </c>
      <c r="H29" s="316">
        <v>2009</v>
      </c>
      <c r="I29" s="316">
        <v>2010</v>
      </c>
      <c r="J29" s="316">
        <v>2011</v>
      </c>
      <c r="K29" s="316">
        <v>2012</v>
      </c>
      <c r="L29" s="316">
        <v>2013</v>
      </c>
      <c r="M29" s="316">
        <v>2014</v>
      </c>
      <c r="N29" s="316">
        <v>2015</v>
      </c>
      <c r="O29" s="316">
        <v>2016</v>
      </c>
      <c r="P29" s="316">
        <v>2017</v>
      </c>
      <c r="Q29" s="316">
        <v>2018</v>
      </c>
      <c r="R29" s="317">
        <v>2019</v>
      </c>
      <c r="S29" s="317">
        <v>2020</v>
      </c>
      <c r="T29" s="317">
        <v>2021</v>
      </c>
      <c r="U29" s="318">
        <v>2022</v>
      </c>
      <c r="V29" s="367">
        <v>2023</v>
      </c>
    </row>
    <row r="30" spans="2:22" ht="15.75" customHeight="1">
      <c r="B30" s="319" t="s">
        <v>0</v>
      </c>
      <c r="C30" s="320"/>
      <c r="D30" s="326">
        <f t="shared" ref="D30:V30" si="2">D19*D27*$C$11</f>
        <v>3127.5</v>
      </c>
      <c r="E30" s="326">
        <f t="shared" si="2"/>
        <v>3127.5</v>
      </c>
      <c r="F30" s="326">
        <f t="shared" si="2"/>
        <v>3127.5</v>
      </c>
      <c r="G30" s="326">
        <f t="shared" si="2"/>
        <v>3127.5</v>
      </c>
      <c r="H30" s="326">
        <f t="shared" si="2"/>
        <v>3127.5</v>
      </c>
      <c r="I30" s="326">
        <f t="shared" si="2"/>
        <v>3127.5</v>
      </c>
      <c r="J30" s="326">
        <f t="shared" si="2"/>
        <v>3127.5</v>
      </c>
      <c r="K30" s="326">
        <f t="shared" si="2"/>
        <v>3127.5</v>
      </c>
      <c r="L30" s="326">
        <f t="shared" si="2"/>
        <v>3127.5</v>
      </c>
      <c r="M30" s="326">
        <f t="shared" si="2"/>
        <v>3127.5</v>
      </c>
      <c r="N30" s="326">
        <f t="shared" si="2"/>
        <v>3127.5</v>
      </c>
      <c r="O30" s="326">
        <f t="shared" si="2"/>
        <v>3127.5</v>
      </c>
      <c r="P30" s="326">
        <f t="shared" si="2"/>
        <v>3127.5</v>
      </c>
      <c r="Q30" s="326">
        <f t="shared" si="2"/>
        <v>3127.5</v>
      </c>
      <c r="R30" s="326">
        <f t="shared" si="2"/>
        <v>3127.5</v>
      </c>
      <c r="S30" s="326">
        <f t="shared" si="2"/>
        <v>3127.5</v>
      </c>
      <c r="T30" s="326">
        <f t="shared" si="2"/>
        <v>3127.5</v>
      </c>
      <c r="U30" s="326">
        <f t="shared" si="2"/>
        <v>3127.5</v>
      </c>
      <c r="V30" s="326">
        <f t="shared" si="2"/>
        <v>3127.5</v>
      </c>
    </row>
    <row r="31" spans="2:22" ht="15.75" customHeight="1">
      <c r="B31" s="371"/>
      <c r="C31" s="361"/>
      <c r="D31" s="386"/>
      <c r="E31" s="386"/>
      <c r="F31" s="386"/>
      <c r="G31" s="386"/>
      <c r="H31" s="386"/>
      <c r="I31" s="386"/>
      <c r="J31" s="386"/>
      <c r="K31" s="386"/>
      <c r="L31" s="386"/>
      <c r="M31" s="341"/>
      <c r="N31" s="341"/>
      <c r="O31" s="341"/>
      <c r="P31" s="341"/>
      <c r="Q31" s="341"/>
    </row>
    <row r="32" spans="2:22" ht="15.75" customHeight="1">
      <c r="B32" s="307" t="s">
        <v>256</v>
      </c>
      <c r="C32" s="308" t="s">
        <v>257</v>
      </c>
      <c r="D32" s="341"/>
      <c r="E32" s="341"/>
      <c r="F32" s="341"/>
      <c r="G32" s="341"/>
      <c r="H32" s="341"/>
      <c r="I32" s="341"/>
      <c r="J32" s="341"/>
      <c r="K32" s="341"/>
      <c r="L32" s="341"/>
      <c r="M32" s="341"/>
      <c r="N32" s="341"/>
      <c r="O32" s="341"/>
      <c r="P32" s="341"/>
      <c r="Q32" s="341"/>
    </row>
    <row r="33" spans="2:17" ht="15.75" customHeight="1">
      <c r="B33" s="328" t="s">
        <v>258</v>
      </c>
      <c r="C33" s="329">
        <v>0.1</v>
      </c>
      <c r="D33" s="341"/>
      <c r="E33" s="341"/>
      <c r="F33" s="341"/>
      <c r="G33" s="341"/>
      <c r="H33" s="341"/>
      <c r="I33" s="341"/>
      <c r="J33" s="341"/>
      <c r="K33" s="341"/>
      <c r="L33" s="341"/>
      <c r="M33" s="341"/>
      <c r="N33" s="341"/>
      <c r="O33" s="341"/>
      <c r="P33" s="341"/>
      <c r="Q33" s="341"/>
    </row>
    <row r="34" spans="2:17" ht="15.75" customHeight="1">
      <c r="B34" s="328" t="s">
        <v>259</v>
      </c>
      <c r="C34" s="329">
        <v>0</v>
      </c>
    </row>
    <row r="35" spans="2:17" ht="15.75" customHeight="1">
      <c r="B35" s="328" t="s">
        <v>260</v>
      </c>
      <c r="C35" s="329">
        <v>0.3</v>
      </c>
      <c r="D35" s="56" t="s">
        <v>296</v>
      </c>
    </row>
    <row r="36" spans="2:17" ht="15.75" customHeight="1">
      <c r="B36" s="328" t="s">
        <v>261</v>
      </c>
      <c r="C36" s="329">
        <v>0.8</v>
      </c>
    </row>
    <row r="37" spans="2:17" ht="15.75" customHeight="1">
      <c r="B37" s="328" t="s">
        <v>262</v>
      </c>
      <c r="C37" s="329">
        <v>0.8</v>
      </c>
    </row>
    <row r="38" spans="2:17" ht="15.75" customHeight="1">
      <c r="B38" s="328" t="s">
        <v>263</v>
      </c>
      <c r="C38" s="329">
        <v>0.2</v>
      </c>
    </row>
    <row r="39" spans="2:17" ht="15.75" customHeight="1">
      <c r="B39" s="330" t="s">
        <v>264</v>
      </c>
      <c r="C39" s="331">
        <v>0.8</v>
      </c>
    </row>
    <row r="40" spans="2:17" ht="15.75" customHeight="1"/>
    <row r="41" spans="2:17" ht="15.75" customHeight="1">
      <c r="B41" s="730" t="s">
        <v>265</v>
      </c>
      <c r="C41" s="667"/>
    </row>
    <row r="42" spans="2:17" ht="15.75" customHeight="1">
      <c r="B42" s="309" t="s">
        <v>240</v>
      </c>
      <c r="C42" s="310">
        <f>C34</f>
        <v>0</v>
      </c>
    </row>
    <row r="43" spans="2:17" ht="15.75" customHeight="1">
      <c r="B43" s="309" t="s">
        <v>14</v>
      </c>
      <c r="C43" s="310">
        <f>C35</f>
        <v>0.3</v>
      </c>
    </row>
    <row r="44" spans="2:17" ht="15.75" customHeight="1">
      <c r="B44" s="309" t="s">
        <v>241</v>
      </c>
      <c r="C44" s="310">
        <f>C39+C34</f>
        <v>0.8</v>
      </c>
    </row>
    <row r="45" spans="2:17" ht="15.75" customHeight="1">
      <c r="B45" s="309" t="s">
        <v>242</v>
      </c>
      <c r="C45" s="310">
        <f>C39+C34</f>
        <v>0.8</v>
      </c>
    </row>
    <row r="46" spans="2:17" ht="15.75" customHeight="1">
      <c r="B46" s="309" t="s">
        <v>15</v>
      </c>
      <c r="C46" s="310">
        <f>C35</f>
        <v>0.3</v>
      </c>
    </row>
    <row r="47" spans="2:17" ht="15.75" customHeight="1">
      <c r="B47" s="309" t="s">
        <v>16</v>
      </c>
      <c r="C47" s="310">
        <f>C35+C38</f>
        <v>0.5</v>
      </c>
    </row>
    <row r="48" spans="2:17" ht="15.75" customHeight="1">
      <c r="B48" s="311" t="s">
        <v>17</v>
      </c>
      <c r="C48" s="312">
        <f>C39+C34</f>
        <v>0.8</v>
      </c>
      <c r="D48" s="56" t="s">
        <v>361</v>
      </c>
    </row>
    <row r="49" spans="2:4" ht="15.75" customHeight="1">
      <c r="B49" s="309" t="s">
        <v>18</v>
      </c>
      <c r="C49" s="310">
        <f>C39+C34</f>
        <v>0.8</v>
      </c>
    </row>
    <row r="50" spans="2:4" ht="15.75" customHeight="1">
      <c r="B50" s="309" t="s">
        <v>19</v>
      </c>
      <c r="C50" s="310">
        <f>C34</f>
        <v>0</v>
      </c>
    </row>
    <row r="51" spans="2:4" ht="15.75" customHeight="1">
      <c r="B51" s="309" t="s">
        <v>20</v>
      </c>
      <c r="C51" s="310">
        <f>C39+C34</f>
        <v>0.8</v>
      </c>
    </row>
    <row r="52" spans="2:4" ht="15.75" customHeight="1">
      <c r="B52" s="313" t="s">
        <v>21</v>
      </c>
      <c r="C52" s="314">
        <f>C35</f>
        <v>0.3</v>
      </c>
    </row>
    <row r="53" spans="2:4" ht="15.75" customHeight="1">
      <c r="B53" s="348"/>
      <c r="C53" s="348"/>
    </row>
    <row r="54" spans="2:4" ht="15.75" customHeight="1">
      <c r="B54" s="348"/>
      <c r="C54" s="348"/>
    </row>
    <row r="55" spans="2:4" ht="15.75" customHeight="1">
      <c r="B55" s="307" t="s">
        <v>266</v>
      </c>
      <c r="C55" s="308" t="s">
        <v>267</v>
      </c>
    </row>
    <row r="56" spans="2:4" ht="15.75" customHeight="1">
      <c r="B56" s="313"/>
      <c r="C56" s="332">
        <v>0.25</v>
      </c>
      <c r="D56" s="56" t="s">
        <v>298</v>
      </c>
    </row>
    <row r="57" spans="2:4" ht="15.75" customHeight="1">
      <c r="B57" s="348"/>
      <c r="C57" s="348"/>
    </row>
    <row r="58" spans="2:4" ht="15.75" customHeight="1">
      <c r="B58" s="348"/>
      <c r="C58" s="348"/>
    </row>
    <row r="59" spans="2:4" ht="15.75" customHeight="1">
      <c r="B59" s="333" t="s">
        <v>268</v>
      </c>
      <c r="C59" s="334" t="s">
        <v>75</v>
      </c>
    </row>
    <row r="60" spans="2:4" ht="15.75" customHeight="1">
      <c r="B60" s="309" t="s">
        <v>240</v>
      </c>
      <c r="C60" s="310">
        <f t="shared" ref="C60:C70" si="3">C42*$C$56</f>
        <v>0</v>
      </c>
    </row>
    <row r="61" spans="2:4" ht="15.75" customHeight="1">
      <c r="B61" s="309" t="s">
        <v>14</v>
      </c>
      <c r="C61" s="335">
        <f t="shared" si="3"/>
        <v>7.4999999999999997E-2</v>
      </c>
    </row>
    <row r="62" spans="2:4" ht="15.75" customHeight="1">
      <c r="B62" s="309" t="s">
        <v>241</v>
      </c>
      <c r="C62" s="310">
        <f t="shared" si="3"/>
        <v>0.2</v>
      </c>
    </row>
    <row r="63" spans="2:4" ht="15.75" customHeight="1">
      <c r="B63" s="309" t="s">
        <v>242</v>
      </c>
      <c r="C63" s="310">
        <f t="shared" si="3"/>
        <v>0.2</v>
      </c>
    </row>
    <row r="64" spans="2:4" ht="15.75" customHeight="1">
      <c r="B64" s="309" t="s">
        <v>15</v>
      </c>
      <c r="C64" s="335">
        <f t="shared" si="3"/>
        <v>7.4999999999999997E-2</v>
      </c>
    </row>
    <row r="65" spans="2:22" ht="15.75" customHeight="1">
      <c r="B65" s="309" t="s">
        <v>16</v>
      </c>
      <c r="C65" s="335">
        <f t="shared" si="3"/>
        <v>0.125</v>
      </c>
    </row>
    <row r="66" spans="2:22" ht="15.75" customHeight="1">
      <c r="B66" s="311" t="s">
        <v>17</v>
      </c>
      <c r="C66" s="310">
        <f t="shared" si="3"/>
        <v>0.2</v>
      </c>
    </row>
    <row r="67" spans="2:22" ht="15.75" customHeight="1">
      <c r="B67" s="309" t="s">
        <v>18</v>
      </c>
      <c r="C67" s="310">
        <f t="shared" si="3"/>
        <v>0.2</v>
      </c>
    </row>
    <row r="68" spans="2:22" ht="15.75" customHeight="1">
      <c r="B68" s="309" t="s">
        <v>19</v>
      </c>
      <c r="C68" s="310">
        <f t="shared" si="3"/>
        <v>0</v>
      </c>
    </row>
    <row r="69" spans="2:22" ht="15.75" customHeight="1">
      <c r="B69" s="309" t="s">
        <v>20</v>
      </c>
      <c r="C69" s="310">
        <f t="shared" si="3"/>
        <v>0.2</v>
      </c>
    </row>
    <row r="70" spans="2:22" ht="15.75" customHeight="1">
      <c r="B70" s="313" t="s">
        <v>21</v>
      </c>
      <c r="C70" s="335">
        <f t="shared" si="3"/>
        <v>7.4999999999999997E-2</v>
      </c>
    </row>
    <row r="71" spans="2:22" ht="15.75" customHeight="1">
      <c r="B71" s="348"/>
      <c r="C71" s="348"/>
    </row>
    <row r="72" spans="2:22" ht="15.75" customHeight="1">
      <c r="B72" s="354"/>
      <c r="C72" s="306"/>
    </row>
    <row r="73" spans="2:22" ht="15.75" customHeight="1">
      <c r="B73" s="333" t="s">
        <v>269</v>
      </c>
      <c r="C73" s="308" t="s">
        <v>270</v>
      </c>
    </row>
    <row r="74" spans="2:22" ht="15.75" customHeight="1">
      <c r="B74" s="313"/>
      <c r="C74" s="332">
        <v>0.35</v>
      </c>
      <c r="D74" s="56" t="s">
        <v>299</v>
      </c>
    </row>
    <row r="75" spans="2:22" ht="15.75" customHeight="1"/>
    <row r="76" spans="2:22" ht="15.75" customHeight="1">
      <c r="B76" s="315" t="s">
        <v>271</v>
      </c>
      <c r="C76" s="315" t="s">
        <v>246</v>
      </c>
      <c r="D76" s="315">
        <v>2005</v>
      </c>
      <c r="E76" s="315">
        <v>2006</v>
      </c>
      <c r="F76" s="315">
        <v>2007</v>
      </c>
      <c r="G76" s="315">
        <v>2008</v>
      </c>
      <c r="H76" s="315">
        <v>2009</v>
      </c>
      <c r="I76" s="315">
        <v>2010</v>
      </c>
      <c r="J76" s="315">
        <v>2011</v>
      </c>
      <c r="K76" s="315">
        <v>2012</v>
      </c>
      <c r="L76" s="315">
        <v>2013</v>
      </c>
      <c r="M76" s="315">
        <v>2014</v>
      </c>
      <c r="N76" s="315">
        <v>2015</v>
      </c>
      <c r="O76" s="315">
        <v>2016</v>
      </c>
      <c r="P76" s="315">
        <v>2017</v>
      </c>
      <c r="Q76" s="315">
        <v>2018</v>
      </c>
      <c r="R76" s="508">
        <v>2019</v>
      </c>
      <c r="S76" s="508">
        <v>2020</v>
      </c>
      <c r="T76" s="508">
        <v>2021</v>
      </c>
      <c r="U76" s="523">
        <v>2022</v>
      </c>
      <c r="V76" s="524">
        <v>2023</v>
      </c>
    </row>
    <row r="77" spans="2:22" ht="15.75" customHeight="1">
      <c r="B77" s="319" t="s">
        <v>0</v>
      </c>
      <c r="C77" s="319" t="s">
        <v>245</v>
      </c>
      <c r="D77" s="509">
        <f t="shared" ref="D77:V77" si="4">((D30-$C$74)*$C$66)/10^3</f>
        <v>0.62543000000000004</v>
      </c>
      <c r="E77" s="509">
        <f t="shared" si="4"/>
        <v>0.62543000000000004</v>
      </c>
      <c r="F77" s="509">
        <f t="shared" si="4"/>
        <v>0.62543000000000004</v>
      </c>
      <c r="G77" s="509">
        <f t="shared" si="4"/>
        <v>0.62543000000000004</v>
      </c>
      <c r="H77" s="509">
        <f t="shared" si="4"/>
        <v>0.62543000000000004</v>
      </c>
      <c r="I77" s="509">
        <f t="shared" si="4"/>
        <v>0.62543000000000004</v>
      </c>
      <c r="J77" s="509">
        <f t="shared" si="4"/>
        <v>0.62543000000000004</v>
      </c>
      <c r="K77" s="509">
        <f t="shared" si="4"/>
        <v>0.62543000000000004</v>
      </c>
      <c r="L77" s="509">
        <f t="shared" si="4"/>
        <v>0.62543000000000004</v>
      </c>
      <c r="M77" s="509">
        <f t="shared" si="4"/>
        <v>0.62543000000000004</v>
      </c>
      <c r="N77" s="509">
        <f t="shared" si="4"/>
        <v>0.62543000000000004</v>
      </c>
      <c r="O77" s="509">
        <f t="shared" si="4"/>
        <v>0.62543000000000004</v>
      </c>
      <c r="P77" s="509">
        <f t="shared" si="4"/>
        <v>0.62543000000000004</v>
      </c>
      <c r="Q77" s="509">
        <f t="shared" si="4"/>
        <v>0.62543000000000004</v>
      </c>
      <c r="R77" s="509">
        <f t="shared" si="4"/>
        <v>0.62543000000000004</v>
      </c>
      <c r="S77" s="509">
        <f t="shared" si="4"/>
        <v>0.62543000000000004</v>
      </c>
      <c r="T77" s="509">
        <f t="shared" si="4"/>
        <v>0.62543000000000004</v>
      </c>
      <c r="U77" s="509">
        <f t="shared" si="4"/>
        <v>0.62543000000000004</v>
      </c>
      <c r="V77" s="509">
        <f t="shared" si="4"/>
        <v>0.62543000000000004</v>
      </c>
    </row>
    <row r="78" spans="2:22" ht="15.75" customHeight="1">
      <c r="B78" s="353"/>
      <c r="C78" s="354"/>
      <c r="D78" s="353"/>
      <c r="E78" s="353"/>
      <c r="F78" s="353"/>
      <c r="G78" s="353"/>
      <c r="H78" s="353"/>
      <c r="I78" s="353"/>
      <c r="J78" s="353"/>
      <c r="K78" s="353"/>
      <c r="L78" s="353"/>
      <c r="M78" s="353"/>
      <c r="N78" s="353"/>
      <c r="O78" s="353"/>
      <c r="P78" s="353"/>
      <c r="Q78" s="353"/>
      <c r="R78" s="510"/>
      <c r="S78" s="510"/>
      <c r="T78" s="510"/>
      <c r="U78" s="510"/>
      <c r="V78" s="510"/>
    </row>
    <row r="79" spans="2:22" ht="15.75" customHeight="1">
      <c r="B79" s="315" t="s">
        <v>273</v>
      </c>
      <c r="C79" s="315" t="s">
        <v>274</v>
      </c>
      <c r="D79" s="315">
        <v>2005</v>
      </c>
      <c r="E79" s="315">
        <v>2006</v>
      </c>
      <c r="F79" s="315">
        <v>2007</v>
      </c>
      <c r="G79" s="315">
        <v>2008</v>
      </c>
      <c r="H79" s="315">
        <v>2009</v>
      </c>
      <c r="I79" s="315">
        <v>2010</v>
      </c>
      <c r="J79" s="315">
        <v>2011</v>
      </c>
      <c r="K79" s="315">
        <v>2012</v>
      </c>
      <c r="L79" s="315">
        <v>2013</v>
      </c>
      <c r="M79" s="315">
        <v>2014</v>
      </c>
      <c r="N79" s="315">
        <v>2015</v>
      </c>
      <c r="O79" s="315">
        <v>2016</v>
      </c>
      <c r="P79" s="315">
        <v>2017</v>
      </c>
      <c r="Q79" s="315">
        <v>2018</v>
      </c>
      <c r="R79" s="508">
        <v>2019</v>
      </c>
      <c r="S79" s="508">
        <v>2020</v>
      </c>
      <c r="T79" s="508">
        <v>2021</v>
      </c>
      <c r="U79" s="523">
        <v>2022</v>
      </c>
      <c r="V79" s="524">
        <v>2023</v>
      </c>
    </row>
    <row r="80" spans="2:22" ht="15.75" customHeight="1">
      <c r="B80" s="319" t="s">
        <v>360</v>
      </c>
      <c r="C80" s="319" t="s">
        <v>253</v>
      </c>
      <c r="D80" s="319">
        <v>0</v>
      </c>
      <c r="E80" s="319">
        <v>0</v>
      </c>
      <c r="F80" s="319">
        <v>0</v>
      </c>
      <c r="G80" s="319">
        <v>0</v>
      </c>
      <c r="H80" s="319">
        <v>0</v>
      </c>
      <c r="I80" s="319">
        <v>0</v>
      </c>
      <c r="J80" s="319">
        <v>0</v>
      </c>
      <c r="K80" s="319">
        <v>0</v>
      </c>
      <c r="L80" s="319">
        <v>0</v>
      </c>
      <c r="M80" s="319">
        <v>0</v>
      </c>
      <c r="N80" s="319">
        <v>0</v>
      </c>
      <c r="O80" s="319">
        <v>0</v>
      </c>
      <c r="P80" s="319">
        <v>0</v>
      </c>
      <c r="Q80" s="319">
        <v>0</v>
      </c>
      <c r="R80" s="525">
        <v>0</v>
      </c>
      <c r="S80" s="525">
        <v>0</v>
      </c>
      <c r="T80" s="525">
        <v>0</v>
      </c>
      <c r="U80" s="525">
        <v>0</v>
      </c>
      <c r="V80" s="525">
        <v>0</v>
      </c>
    </row>
    <row r="81" spans="2:26" ht="15.75" customHeight="1">
      <c r="B81" s="510"/>
      <c r="C81" s="510"/>
      <c r="D81" s="510"/>
      <c r="E81" s="510"/>
      <c r="F81" s="510"/>
      <c r="G81" s="510"/>
      <c r="H81" s="510"/>
      <c r="I81" s="510"/>
      <c r="J81" s="510"/>
      <c r="K81" s="510"/>
      <c r="L81" s="510"/>
      <c r="M81" s="510"/>
      <c r="N81" s="510"/>
      <c r="O81" s="510"/>
      <c r="P81" s="510"/>
      <c r="Q81" s="510"/>
      <c r="R81" s="510"/>
      <c r="S81" s="510"/>
      <c r="T81" s="510"/>
      <c r="U81" s="510"/>
      <c r="V81" s="510"/>
    </row>
    <row r="82" spans="2:26" ht="15.75" customHeight="1">
      <c r="B82" s="315" t="s">
        <v>275</v>
      </c>
      <c r="C82" s="315" t="s">
        <v>246</v>
      </c>
      <c r="D82" s="315">
        <v>2005</v>
      </c>
      <c r="E82" s="315">
        <v>2006</v>
      </c>
      <c r="F82" s="315">
        <v>2007</v>
      </c>
      <c r="G82" s="315">
        <v>2008</v>
      </c>
      <c r="H82" s="315">
        <v>2009</v>
      </c>
      <c r="I82" s="315">
        <v>2010</v>
      </c>
      <c r="J82" s="315">
        <v>2011</v>
      </c>
      <c r="K82" s="315">
        <v>2012</v>
      </c>
      <c r="L82" s="315">
        <v>2013</v>
      </c>
      <c r="M82" s="315">
        <v>2014</v>
      </c>
      <c r="N82" s="315">
        <v>2015</v>
      </c>
      <c r="O82" s="315">
        <v>2016</v>
      </c>
      <c r="P82" s="315">
        <v>2017</v>
      </c>
      <c r="Q82" s="315">
        <v>2018</v>
      </c>
      <c r="R82" s="508">
        <v>2019</v>
      </c>
      <c r="S82" s="508">
        <v>2020</v>
      </c>
      <c r="T82" s="508">
        <v>2021</v>
      </c>
      <c r="U82" s="523">
        <v>2022</v>
      </c>
      <c r="V82" s="524">
        <v>2023</v>
      </c>
    </row>
    <row r="83" spans="2:26" ht="15.75" customHeight="1">
      <c r="B83" s="319"/>
      <c r="C83" s="319" t="s">
        <v>245</v>
      </c>
      <c r="D83" s="526">
        <f t="shared" ref="D83:V83" si="5">D77*(1-D80)</f>
        <v>0.62543000000000004</v>
      </c>
      <c r="E83" s="526">
        <f t="shared" si="5"/>
        <v>0.62543000000000004</v>
      </c>
      <c r="F83" s="526">
        <f t="shared" si="5"/>
        <v>0.62543000000000004</v>
      </c>
      <c r="G83" s="526">
        <f t="shared" si="5"/>
        <v>0.62543000000000004</v>
      </c>
      <c r="H83" s="526">
        <f t="shared" si="5"/>
        <v>0.62543000000000004</v>
      </c>
      <c r="I83" s="526">
        <f t="shared" si="5"/>
        <v>0.62543000000000004</v>
      </c>
      <c r="J83" s="526">
        <f t="shared" si="5"/>
        <v>0.62543000000000004</v>
      </c>
      <c r="K83" s="526">
        <f t="shared" si="5"/>
        <v>0.62543000000000004</v>
      </c>
      <c r="L83" s="526">
        <f t="shared" si="5"/>
        <v>0.62543000000000004</v>
      </c>
      <c r="M83" s="526">
        <f t="shared" si="5"/>
        <v>0.62543000000000004</v>
      </c>
      <c r="N83" s="526">
        <f t="shared" si="5"/>
        <v>0.62543000000000004</v>
      </c>
      <c r="O83" s="526">
        <f t="shared" si="5"/>
        <v>0.62543000000000004</v>
      </c>
      <c r="P83" s="526">
        <f t="shared" si="5"/>
        <v>0.62543000000000004</v>
      </c>
      <c r="Q83" s="526">
        <f t="shared" si="5"/>
        <v>0.62543000000000004</v>
      </c>
      <c r="R83" s="526">
        <f t="shared" si="5"/>
        <v>0.62543000000000004</v>
      </c>
      <c r="S83" s="526">
        <f t="shared" si="5"/>
        <v>0.62543000000000004</v>
      </c>
      <c r="T83" s="526">
        <f t="shared" si="5"/>
        <v>0.62543000000000004</v>
      </c>
      <c r="U83" s="526">
        <f t="shared" si="5"/>
        <v>0.62543000000000004</v>
      </c>
      <c r="V83" s="526">
        <f t="shared" si="5"/>
        <v>0.62543000000000004</v>
      </c>
      <c r="W83" s="392"/>
      <c r="X83" s="392"/>
      <c r="Y83" s="392"/>
      <c r="Z83" s="392"/>
    </row>
    <row r="84" spans="2:26" ht="15.75" customHeight="1">
      <c r="B84" s="328"/>
      <c r="C84" s="354"/>
      <c r="D84" s="353"/>
      <c r="E84" s="353"/>
      <c r="F84" s="353"/>
      <c r="G84" s="353"/>
      <c r="H84" s="353"/>
      <c r="I84" s="353"/>
      <c r="J84" s="353"/>
      <c r="K84" s="353"/>
      <c r="L84" s="353"/>
      <c r="M84" s="353"/>
      <c r="N84" s="353"/>
      <c r="O84" s="353"/>
      <c r="P84" s="353"/>
      <c r="Q84" s="527"/>
      <c r="R84" s="510"/>
      <c r="S84" s="510"/>
      <c r="T84" s="510"/>
      <c r="U84" s="510"/>
      <c r="V84" s="510"/>
    </row>
    <row r="85" spans="2:26" ht="15.75" customHeight="1">
      <c r="B85" s="315" t="s">
        <v>362</v>
      </c>
      <c r="C85" s="315" t="s">
        <v>246</v>
      </c>
      <c r="D85" s="315">
        <v>2005</v>
      </c>
      <c r="E85" s="315">
        <v>2006</v>
      </c>
      <c r="F85" s="315">
        <v>2007</v>
      </c>
      <c r="G85" s="315">
        <v>2008</v>
      </c>
      <c r="H85" s="315">
        <v>2009</v>
      </c>
      <c r="I85" s="315">
        <v>2010</v>
      </c>
      <c r="J85" s="315">
        <v>2011</v>
      </c>
      <c r="K85" s="315">
        <v>2012</v>
      </c>
      <c r="L85" s="315">
        <v>2013</v>
      </c>
      <c r="M85" s="315">
        <v>2014</v>
      </c>
      <c r="N85" s="315">
        <v>2015</v>
      </c>
      <c r="O85" s="315">
        <v>2016</v>
      </c>
      <c r="P85" s="315">
        <v>2017</v>
      </c>
      <c r="Q85" s="315">
        <v>2018</v>
      </c>
      <c r="R85" s="508">
        <v>2019</v>
      </c>
      <c r="S85" s="508">
        <v>2020</v>
      </c>
      <c r="T85" s="508">
        <v>2021</v>
      </c>
      <c r="U85" s="523">
        <v>2022</v>
      </c>
      <c r="V85" s="524">
        <v>2023</v>
      </c>
    </row>
    <row r="86" spans="2:26" ht="15.75" customHeight="1">
      <c r="B86" s="319"/>
      <c r="C86" s="319" t="s">
        <v>245</v>
      </c>
      <c r="D86" s="509">
        <f t="shared" ref="D86:V86" si="6">D83*21</f>
        <v>13.134030000000001</v>
      </c>
      <c r="E86" s="509">
        <f t="shared" si="6"/>
        <v>13.134030000000001</v>
      </c>
      <c r="F86" s="509">
        <f t="shared" si="6"/>
        <v>13.134030000000001</v>
      </c>
      <c r="G86" s="509">
        <f t="shared" si="6"/>
        <v>13.134030000000001</v>
      </c>
      <c r="H86" s="509">
        <f t="shared" si="6"/>
        <v>13.134030000000001</v>
      </c>
      <c r="I86" s="509">
        <f t="shared" si="6"/>
        <v>13.134030000000001</v>
      </c>
      <c r="J86" s="509">
        <f t="shared" si="6"/>
        <v>13.134030000000001</v>
      </c>
      <c r="K86" s="509">
        <f t="shared" si="6"/>
        <v>13.134030000000001</v>
      </c>
      <c r="L86" s="509">
        <f t="shared" si="6"/>
        <v>13.134030000000001</v>
      </c>
      <c r="M86" s="509">
        <f t="shared" si="6"/>
        <v>13.134030000000001</v>
      </c>
      <c r="N86" s="509">
        <f t="shared" si="6"/>
        <v>13.134030000000001</v>
      </c>
      <c r="O86" s="509">
        <f t="shared" si="6"/>
        <v>13.134030000000001</v>
      </c>
      <c r="P86" s="509">
        <f t="shared" si="6"/>
        <v>13.134030000000001</v>
      </c>
      <c r="Q86" s="509">
        <f t="shared" si="6"/>
        <v>13.134030000000001</v>
      </c>
      <c r="R86" s="509">
        <f t="shared" si="6"/>
        <v>13.134030000000001</v>
      </c>
      <c r="S86" s="509">
        <f t="shared" si="6"/>
        <v>13.134030000000001</v>
      </c>
      <c r="T86" s="509">
        <f t="shared" si="6"/>
        <v>13.134030000000001</v>
      </c>
      <c r="U86" s="509">
        <f t="shared" si="6"/>
        <v>13.134030000000001</v>
      </c>
      <c r="V86" s="509">
        <f t="shared" si="6"/>
        <v>13.134030000000001</v>
      </c>
    </row>
    <row r="87" spans="2:26" ht="15.75" customHeight="1">
      <c r="B87" s="328"/>
      <c r="C87" s="354"/>
      <c r="D87" s="353"/>
      <c r="E87" s="353"/>
      <c r="F87" s="353"/>
      <c r="G87" s="353"/>
      <c r="H87" s="353"/>
      <c r="I87" s="353"/>
      <c r="J87" s="353"/>
      <c r="K87" s="353"/>
      <c r="L87" s="353"/>
      <c r="M87" s="353"/>
      <c r="N87" s="353"/>
      <c r="O87" s="353"/>
      <c r="P87" s="353"/>
      <c r="Q87" s="527"/>
      <c r="R87" s="510"/>
      <c r="S87" s="510"/>
      <c r="T87" s="510"/>
      <c r="U87" s="510"/>
      <c r="V87" s="510"/>
    </row>
    <row r="88" spans="2:26" ht="15.75" customHeight="1">
      <c r="B88" s="480" t="s">
        <v>363</v>
      </c>
      <c r="C88" s="480" t="s">
        <v>246</v>
      </c>
      <c r="D88" s="480">
        <v>2005</v>
      </c>
      <c r="E88" s="480">
        <v>2006</v>
      </c>
      <c r="F88" s="480">
        <v>2007</v>
      </c>
      <c r="G88" s="480">
        <v>2008</v>
      </c>
      <c r="H88" s="480">
        <v>2009</v>
      </c>
      <c r="I88" s="480">
        <v>2010</v>
      </c>
      <c r="J88" s="480">
        <v>2011</v>
      </c>
      <c r="K88" s="480">
        <v>2012</v>
      </c>
      <c r="L88" s="480">
        <v>2013</v>
      </c>
      <c r="M88" s="480">
        <v>2014</v>
      </c>
      <c r="N88" s="480">
        <v>2015</v>
      </c>
      <c r="O88" s="480">
        <v>2016</v>
      </c>
      <c r="P88" s="480">
        <v>2017</v>
      </c>
      <c r="Q88" s="480">
        <v>2018</v>
      </c>
      <c r="R88" s="483">
        <v>2019</v>
      </c>
      <c r="S88" s="483">
        <v>2020</v>
      </c>
      <c r="T88" s="483">
        <v>2021</v>
      </c>
      <c r="U88" s="484">
        <v>2022</v>
      </c>
      <c r="V88" s="484">
        <v>2023</v>
      </c>
    </row>
    <row r="89" spans="2:26" ht="15.75" customHeight="1">
      <c r="B89" s="481"/>
      <c r="C89" s="481" t="s">
        <v>245</v>
      </c>
      <c r="D89" s="492">
        <f t="shared" ref="D89:V89" si="7">D83*27.9</f>
        <v>17.449497000000001</v>
      </c>
      <c r="E89" s="492">
        <f t="shared" si="7"/>
        <v>17.449497000000001</v>
      </c>
      <c r="F89" s="492">
        <f t="shared" si="7"/>
        <v>17.449497000000001</v>
      </c>
      <c r="G89" s="492">
        <f t="shared" si="7"/>
        <v>17.449497000000001</v>
      </c>
      <c r="H89" s="492">
        <f t="shared" si="7"/>
        <v>17.449497000000001</v>
      </c>
      <c r="I89" s="492">
        <f t="shared" si="7"/>
        <v>17.449497000000001</v>
      </c>
      <c r="J89" s="492">
        <f t="shared" si="7"/>
        <v>17.449497000000001</v>
      </c>
      <c r="K89" s="492">
        <f t="shared" si="7"/>
        <v>17.449497000000001</v>
      </c>
      <c r="L89" s="492">
        <f t="shared" si="7"/>
        <v>17.449497000000001</v>
      </c>
      <c r="M89" s="492">
        <f t="shared" si="7"/>
        <v>17.449497000000001</v>
      </c>
      <c r="N89" s="492">
        <f t="shared" si="7"/>
        <v>17.449497000000001</v>
      </c>
      <c r="O89" s="492">
        <f t="shared" si="7"/>
        <v>17.449497000000001</v>
      </c>
      <c r="P89" s="492">
        <f t="shared" si="7"/>
        <v>17.449497000000001</v>
      </c>
      <c r="Q89" s="492">
        <f t="shared" si="7"/>
        <v>17.449497000000001</v>
      </c>
      <c r="R89" s="492">
        <f t="shared" si="7"/>
        <v>17.449497000000001</v>
      </c>
      <c r="S89" s="492">
        <f t="shared" si="7"/>
        <v>17.449497000000001</v>
      </c>
      <c r="T89" s="492">
        <f t="shared" si="7"/>
        <v>17.449497000000001</v>
      </c>
      <c r="U89" s="492">
        <f t="shared" si="7"/>
        <v>17.449497000000001</v>
      </c>
      <c r="V89" s="492">
        <f t="shared" si="7"/>
        <v>17.449497000000001</v>
      </c>
    </row>
    <row r="90" spans="2:26"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6" ht="15.75" customHeight="1">
      <c r="B91" s="486"/>
      <c r="C91" s="486"/>
      <c r="D91" s="486"/>
      <c r="E91" s="486"/>
      <c r="F91" s="486"/>
      <c r="G91" s="486"/>
      <c r="H91" s="486"/>
      <c r="I91" s="486"/>
      <c r="J91" s="486"/>
      <c r="K91" s="486"/>
      <c r="L91" s="486"/>
      <c r="M91" s="486"/>
      <c r="N91" s="486"/>
      <c r="O91" s="486"/>
      <c r="P91" s="486"/>
      <c r="Q91" s="486"/>
      <c r="R91" s="486"/>
      <c r="S91" s="486"/>
      <c r="T91" s="486"/>
      <c r="U91" s="486"/>
      <c r="V91" s="486"/>
    </row>
    <row r="92" spans="2:26" ht="15.75" customHeight="1">
      <c r="B92" s="480" t="s">
        <v>364</v>
      </c>
      <c r="C92" s="480" t="s">
        <v>246</v>
      </c>
      <c r="D92" s="480">
        <v>2005</v>
      </c>
      <c r="E92" s="480">
        <v>2006</v>
      </c>
      <c r="F92" s="480">
        <v>2007</v>
      </c>
      <c r="G92" s="480">
        <v>2008</v>
      </c>
      <c r="H92" s="480">
        <v>2009</v>
      </c>
      <c r="I92" s="480">
        <v>2010</v>
      </c>
      <c r="J92" s="480">
        <v>2011</v>
      </c>
      <c r="K92" s="480">
        <v>2012</v>
      </c>
      <c r="L92" s="480">
        <v>2013</v>
      </c>
      <c r="M92" s="480">
        <v>2014</v>
      </c>
      <c r="N92" s="480">
        <v>2015</v>
      </c>
      <c r="O92" s="480">
        <v>2016</v>
      </c>
      <c r="P92" s="480">
        <v>2017</v>
      </c>
      <c r="Q92" s="480">
        <v>2018</v>
      </c>
      <c r="R92" s="483">
        <v>2019</v>
      </c>
      <c r="S92" s="483">
        <v>2020</v>
      </c>
      <c r="T92" s="483">
        <v>2021</v>
      </c>
      <c r="U92" s="484">
        <v>2022</v>
      </c>
      <c r="V92" s="484">
        <v>2023</v>
      </c>
    </row>
    <row r="93" spans="2:26" ht="15.75" customHeight="1">
      <c r="B93" s="504"/>
      <c r="C93" s="504" t="s">
        <v>245</v>
      </c>
      <c r="D93" s="528">
        <f t="shared" ref="D93:V93" si="8">D83*5.38</f>
        <v>3.3648134000000001</v>
      </c>
      <c r="E93" s="528">
        <f t="shared" si="8"/>
        <v>3.3648134000000001</v>
      </c>
      <c r="F93" s="528">
        <f t="shared" si="8"/>
        <v>3.3648134000000001</v>
      </c>
      <c r="G93" s="528">
        <f t="shared" si="8"/>
        <v>3.3648134000000001</v>
      </c>
      <c r="H93" s="528">
        <f t="shared" si="8"/>
        <v>3.3648134000000001</v>
      </c>
      <c r="I93" s="528">
        <f t="shared" si="8"/>
        <v>3.3648134000000001</v>
      </c>
      <c r="J93" s="528">
        <f t="shared" si="8"/>
        <v>3.3648134000000001</v>
      </c>
      <c r="K93" s="528">
        <f t="shared" si="8"/>
        <v>3.3648134000000001</v>
      </c>
      <c r="L93" s="528">
        <f t="shared" si="8"/>
        <v>3.3648134000000001</v>
      </c>
      <c r="M93" s="528">
        <f t="shared" si="8"/>
        <v>3.3648134000000001</v>
      </c>
      <c r="N93" s="528">
        <f t="shared" si="8"/>
        <v>3.3648134000000001</v>
      </c>
      <c r="O93" s="528">
        <f t="shared" si="8"/>
        <v>3.3648134000000001</v>
      </c>
      <c r="P93" s="528">
        <f t="shared" si="8"/>
        <v>3.3648134000000001</v>
      </c>
      <c r="Q93" s="528">
        <f t="shared" si="8"/>
        <v>3.3648134000000001</v>
      </c>
      <c r="R93" s="528">
        <f t="shared" si="8"/>
        <v>3.3648134000000001</v>
      </c>
      <c r="S93" s="528">
        <f t="shared" si="8"/>
        <v>3.3648134000000001</v>
      </c>
      <c r="T93" s="528">
        <f t="shared" si="8"/>
        <v>3.3648134000000001</v>
      </c>
      <c r="U93" s="528">
        <f t="shared" si="8"/>
        <v>3.3648134000000001</v>
      </c>
      <c r="V93" s="528">
        <f t="shared" si="8"/>
        <v>3.3648134000000001</v>
      </c>
    </row>
    <row r="94" spans="2:26" ht="15.75" customHeight="1">
      <c r="B94" s="510"/>
      <c r="C94" s="510"/>
      <c r="D94" s="510"/>
      <c r="E94" s="510"/>
      <c r="F94" s="510"/>
      <c r="G94" s="510"/>
      <c r="H94" s="510"/>
      <c r="I94" s="510"/>
      <c r="J94" s="510"/>
      <c r="K94" s="510"/>
      <c r="L94" s="510"/>
      <c r="M94" s="510"/>
      <c r="N94" s="510"/>
      <c r="O94" s="510"/>
      <c r="P94" s="510"/>
      <c r="Q94" s="510"/>
      <c r="R94" s="510"/>
      <c r="S94" s="510"/>
      <c r="T94" s="510"/>
      <c r="U94" s="510"/>
      <c r="V94" s="510"/>
    </row>
    <row r="95" spans="2:26" ht="15.75" customHeight="1">
      <c r="B95" s="354"/>
      <c r="C95" s="354"/>
      <c r="D95" s="354"/>
      <c r="E95" s="354"/>
      <c r="F95" s="354"/>
      <c r="G95" s="354"/>
      <c r="H95" s="354"/>
      <c r="I95" s="354"/>
      <c r="J95" s="354"/>
      <c r="K95" s="354"/>
      <c r="L95" s="354"/>
      <c r="M95" s="354"/>
      <c r="N95" s="354"/>
      <c r="O95" s="354"/>
      <c r="P95" s="354"/>
      <c r="Q95" s="354"/>
      <c r="R95" s="521"/>
      <c r="S95" s="521"/>
      <c r="T95" s="521"/>
      <c r="U95" s="510"/>
      <c r="V95" s="510"/>
    </row>
    <row r="96" spans="2:26" ht="15.75" customHeight="1">
      <c r="B96" s="354"/>
      <c r="C96" s="354"/>
      <c r="D96" s="522"/>
      <c r="E96" s="522"/>
      <c r="F96" s="522"/>
      <c r="G96" s="522"/>
      <c r="H96" s="522"/>
      <c r="I96" s="522"/>
      <c r="J96" s="522"/>
      <c r="K96" s="522"/>
      <c r="L96" s="522"/>
      <c r="M96" s="522"/>
      <c r="N96" s="522"/>
      <c r="O96" s="522"/>
      <c r="P96" s="522"/>
      <c r="Q96" s="522"/>
      <c r="R96" s="522"/>
      <c r="S96" s="522"/>
      <c r="T96" s="522"/>
      <c r="U96" s="510"/>
      <c r="V96" s="510"/>
    </row>
    <row r="97" spans="2:22" ht="15.75" customHeight="1">
      <c r="B97" s="354"/>
      <c r="C97" s="354"/>
      <c r="D97" s="522"/>
      <c r="E97" s="522"/>
      <c r="F97" s="522"/>
      <c r="G97" s="522"/>
      <c r="H97" s="522"/>
      <c r="I97" s="522"/>
      <c r="J97" s="522"/>
      <c r="K97" s="522"/>
      <c r="L97" s="522"/>
      <c r="M97" s="522"/>
      <c r="N97" s="522"/>
      <c r="O97" s="522"/>
      <c r="P97" s="522"/>
      <c r="Q97" s="522"/>
      <c r="R97" s="522"/>
      <c r="S97" s="522"/>
      <c r="T97" s="522"/>
      <c r="U97" s="522"/>
      <c r="V97" s="522"/>
    </row>
    <row r="98" spans="2:22" ht="15.75" customHeight="1"/>
    <row r="99" spans="2:22" ht="15.75" customHeight="1"/>
    <row r="100" spans="2:22" ht="15.75" customHeight="1"/>
    <row r="101" spans="2:22" ht="15.75" customHeight="1"/>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B2:C2"/>
    <mergeCell ref="B41:C4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F1561-4ED8-4E86-8AC1-464FBE144303}">
  <sheetPr>
    <tabColor theme="4" tint="0.59999389629810485"/>
    <outlinePr summaryBelow="0" summaryRight="0"/>
  </sheetPr>
  <dimension ref="B1:W1003"/>
  <sheetViews>
    <sheetView workbookViewId="0">
      <selection activeCell="B103" sqref="B103:B105"/>
    </sheetView>
  </sheetViews>
  <sheetFormatPr defaultColWidth="12.6640625" defaultRowHeight="15" customHeight="1"/>
  <cols>
    <col min="1" max="4" width="12.6640625" style="10" customWidth="1"/>
    <col min="5" max="5" width="16.6640625" style="10" customWidth="1"/>
    <col min="6" max="6" width="12.6640625" style="10" customWidth="1"/>
    <col min="7" max="16384" width="12.6640625" style="10"/>
  </cols>
  <sheetData>
    <row r="1" spans="2:23" ht="15.75" customHeight="1"/>
    <row r="2" spans="2:23" ht="15.75" customHeight="1">
      <c r="B2" s="737" t="s">
        <v>365</v>
      </c>
      <c r="C2" s="688"/>
      <c r="D2" s="688"/>
      <c r="E2" s="348"/>
      <c r="F2" s="348"/>
      <c r="G2" s="348"/>
      <c r="H2" s="348"/>
      <c r="I2" s="348"/>
      <c r="J2" s="348"/>
      <c r="K2" s="348"/>
      <c r="L2" s="348"/>
      <c r="M2" s="348"/>
      <c r="N2" s="348"/>
      <c r="O2" s="348"/>
      <c r="P2" s="348"/>
      <c r="Q2" s="348"/>
      <c r="R2" s="348"/>
    </row>
    <row r="3" spans="2:23" ht="15.75" customHeight="1">
      <c r="B3" s="348"/>
      <c r="C3" s="348"/>
      <c r="D3" s="348"/>
      <c r="E3" s="348"/>
      <c r="F3" s="348"/>
      <c r="G3" s="348"/>
      <c r="H3" s="348"/>
      <c r="I3" s="348"/>
      <c r="J3" s="348"/>
      <c r="K3" s="348"/>
      <c r="L3" s="348"/>
      <c r="M3" s="348"/>
      <c r="N3" s="348"/>
      <c r="O3" s="348"/>
      <c r="P3" s="348"/>
      <c r="Q3" s="348"/>
      <c r="R3" s="348"/>
    </row>
    <row r="4" spans="2:23" ht="15.75" customHeight="1">
      <c r="B4" s="734" t="s">
        <v>8</v>
      </c>
      <c r="C4" s="732" t="s">
        <v>244</v>
      </c>
      <c r="D4" s="670"/>
      <c r="E4" s="670"/>
      <c r="F4" s="670"/>
      <c r="G4" s="670"/>
      <c r="H4" s="670"/>
      <c r="I4" s="670"/>
      <c r="J4" s="670"/>
      <c r="K4" s="670"/>
      <c r="L4" s="670"/>
      <c r="M4" s="670"/>
      <c r="N4" s="670"/>
      <c r="O4" s="670"/>
      <c r="P4" s="670"/>
      <c r="Q4" s="670"/>
      <c r="R4" s="672"/>
      <c r="S4" s="317"/>
      <c r="T4" s="317"/>
      <c r="U4" s="317"/>
    </row>
    <row r="5" spans="2:23" ht="15.75" customHeight="1">
      <c r="B5" s="665"/>
      <c r="C5" s="316" t="s">
        <v>276</v>
      </c>
      <c r="D5" s="345">
        <v>38108</v>
      </c>
      <c r="E5" s="345">
        <v>38504</v>
      </c>
      <c r="F5" s="345">
        <v>38899</v>
      </c>
      <c r="G5" s="345">
        <v>39295</v>
      </c>
      <c r="H5" s="345">
        <v>39692</v>
      </c>
      <c r="I5" s="346">
        <v>40087</v>
      </c>
      <c r="J5" s="346">
        <v>40483</v>
      </c>
      <c r="K5" s="346">
        <v>40878</v>
      </c>
      <c r="L5" s="316" t="s">
        <v>277</v>
      </c>
      <c r="M5" s="316" t="s">
        <v>278</v>
      </c>
      <c r="N5" s="316" t="s">
        <v>210</v>
      </c>
      <c r="O5" s="316" t="s">
        <v>279</v>
      </c>
      <c r="P5" s="316" t="s">
        <v>280</v>
      </c>
      <c r="Q5" s="316" t="s">
        <v>281</v>
      </c>
      <c r="R5" s="316" t="s">
        <v>282</v>
      </c>
      <c r="S5" s="317" t="s">
        <v>283</v>
      </c>
      <c r="T5" s="317" t="s">
        <v>284</v>
      </c>
      <c r="U5" s="317" t="s">
        <v>285</v>
      </c>
      <c r="V5" s="367" t="s">
        <v>286</v>
      </c>
      <c r="W5" s="367" t="s">
        <v>287</v>
      </c>
    </row>
    <row r="6" spans="2:23" ht="15.75" customHeight="1">
      <c r="B6" s="370" t="s">
        <v>0</v>
      </c>
      <c r="C6" s="320" t="s">
        <v>272</v>
      </c>
      <c r="D6" s="356">
        <f t="shared" ref="D6:W6" si="0">$J$17</f>
        <v>22684.75</v>
      </c>
      <c r="E6" s="356">
        <f t="shared" si="0"/>
        <v>22684.75</v>
      </c>
      <c r="F6" s="356">
        <f t="shared" si="0"/>
        <v>22684.75</v>
      </c>
      <c r="G6" s="356">
        <f t="shared" si="0"/>
        <v>22684.75</v>
      </c>
      <c r="H6" s="356">
        <f t="shared" si="0"/>
        <v>22684.75</v>
      </c>
      <c r="I6" s="356">
        <f t="shared" si="0"/>
        <v>22684.75</v>
      </c>
      <c r="J6" s="356">
        <f t="shared" si="0"/>
        <v>22684.75</v>
      </c>
      <c r="K6" s="356">
        <f t="shared" si="0"/>
        <v>22684.75</v>
      </c>
      <c r="L6" s="356">
        <f t="shared" si="0"/>
        <v>22684.75</v>
      </c>
      <c r="M6" s="356">
        <f t="shared" si="0"/>
        <v>22684.75</v>
      </c>
      <c r="N6" s="356">
        <f t="shared" si="0"/>
        <v>22684.75</v>
      </c>
      <c r="O6" s="356">
        <f t="shared" si="0"/>
        <v>22684.75</v>
      </c>
      <c r="P6" s="356">
        <f t="shared" si="0"/>
        <v>22684.75</v>
      </c>
      <c r="Q6" s="356">
        <f t="shared" si="0"/>
        <v>22684.75</v>
      </c>
      <c r="R6" s="356">
        <f t="shared" si="0"/>
        <v>22684.75</v>
      </c>
      <c r="S6" s="356">
        <f t="shared" si="0"/>
        <v>22684.75</v>
      </c>
      <c r="T6" s="356">
        <f t="shared" si="0"/>
        <v>22684.75</v>
      </c>
      <c r="U6" s="356">
        <f t="shared" si="0"/>
        <v>22684.75</v>
      </c>
      <c r="V6" s="356">
        <f t="shared" si="0"/>
        <v>22684.75</v>
      </c>
      <c r="W6" s="356">
        <f t="shared" si="0"/>
        <v>22684.75</v>
      </c>
    </row>
    <row r="7" spans="2:23" ht="15.75" customHeight="1">
      <c r="B7" s="341"/>
      <c r="C7" s="341"/>
      <c r="D7" s="348"/>
      <c r="E7" s="348"/>
      <c r="F7" s="348"/>
      <c r="G7" s="348"/>
      <c r="H7" s="348"/>
      <c r="I7" s="348"/>
      <c r="J7" s="348"/>
      <c r="K7" s="348"/>
      <c r="L7" s="348"/>
      <c r="M7" s="393"/>
      <c r="N7" s="393"/>
      <c r="O7" s="393"/>
      <c r="P7" s="393"/>
      <c r="Q7" s="393"/>
      <c r="R7" s="393"/>
    </row>
    <row r="8" spans="2:23" ht="15.75" customHeight="1"/>
    <row r="9" spans="2:23" ht="15.75" customHeight="1"/>
    <row r="10" spans="2:23" ht="15.75" customHeight="1">
      <c r="B10" s="55"/>
    </row>
    <row r="11" spans="2:23" ht="15.75" customHeight="1">
      <c r="B11" s="55" t="s">
        <v>321</v>
      </c>
    </row>
    <row r="12" spans="2:23" ht="15.75" customHeight="1">
      <c r="B12" s="378" t="s">
        <v>322</v>
      </c>
      <c r="C12" s="379" t="s">
        <v>323</v>
      </c>
      <c r="D12" s="379" t="s">
        <v>324</v>
      </c>
      <c r="E12" s="379" t="s">
        <v>366</v>
      </c>
      <c r="F12" s="379" t="s">
        <v>367</v>
      </c>
      <c r="G12" s="379" t="s">
        <v>368</v>
      </c>
      <c r="H12" s="379" t="s">
        <v>369</v>
      </c>
      <c r="I12" s="379" t="s">
        <v>370</v>
      </c>
      <c r="J12" s="379" t="s">
        <v>325</v>
      </c>
      <c r="K12" s="379" t="s">
        <v>326</v>
      </c>
      <c r="L12" s="379" t="s">
        <v>246</v>
      </c>
    </row>
    <row r="13" spans="2:23" ht="15.75" customHeight="1">
      <c r="B13" s="380">
        <v>1</v>
      </c>
      <c r="C13" s="381" t="s">
        <v>371</v>
      </c>
      <c r="D13" s="381" t="s">
        <v>372</v>
      </c>
      <c r="E13" s="381" t="s">
        <v>373</v>
      </c>
      <c r="F13" s="381" t="s">
        <v>374</v>
      </c>
      <c r="G13" s="381" t="s">
        <v>375</v>
      </c>
      <c r="H13" s="394">
        <v>0.5</v>
      </c>
      <c r="I13" s="381" t="s">
        <v>376</v>
      </c>
      <c r="J13" s="383">
        <v>60</v>
      </c>
      <c r="K13" s="383">
        <v>75</v>
      </c>
      <c r="L13" s="382" t="s">
        <v>377</v>
      </c>
    </row>
    <row r="14" spans="2:23" ht="15.75" customHeight="1">
      <c r="B14" s="380">
        <v>2</v>
      </c>
      <c r="C14" s="381" t="s">
        <v>378</v>
      </c>
      <c r="D14" s="381" t="s">
        <v>379</v>
      </c>
      <c r="E14" s="381" t="s">
        <v>380</v>
      </c>
      <c r="F14" s="381" t="s">
        <v>381</v>
      </c>
      <c r="G14" s="381" t="s">
        <v>382</v>
      </c>
      <c r="H14" s="394">
        <v>5.0000000000000001E-4</v>
      </c>
      <c r="I14" s="381" t="s">
        <v>383</v>
      </c>
      <c r="J14" s="383">
        <v>0.35</v>
      </c>
      <c r="K14" s="383">
        <v>0.35</v>
      </c>
      <c r="L14" s="382" t="s">
        <v>377</v>
      </c>
    </row>
    <row r="15" spans="2:23" ht="15.75" customHeight="1">
      <c r="B15" s="380">
        <v>3</v>
      </c>
      <c r="C15" s="381" t="s">
        <v>384</v>
      </c>
      <c r="D15" s="381" t="s">
        <v>372</v>
      </c>
      <c r="E15" s="381" t="s">
        <v>385</v>
      </c>
      <c r="F15" s="381" t="s">
        <v>386</v>
      </c>
      <c r="G15" s="381" t="s">
        <v>387</v>
      </c>
      <c r="H15" s="394">
        <v>0.125</v>
      </c>
      <c r="I15" s="381" t="s">
        <v>388</v>
      </c>
      <c r="J15" s="383">
        <v>1.8</v>
      </c>
      <c r="K15" s="383">
        <v>9.4</v>
      </c>
      <c r="L15" s="382" t="s">
        <v>377</v>
      </c>
    </row>
    <row r="16" spans="2:23" ht="15.75" customHeight="1">
      <c r="I16" s="56" t="s">
        <v>133</v>
      </c>
      <c r="J16" s="56">
        <f>SUM(J13:J15)</f>
        <v>62.15</v>
      </c>
      <c r="K16" s="56" t="s">
        <v>355</v>
      </c>
    </row>
    <row r="17" spans="2:11" ht="15.75" customHeight="1">
      <c r="J17" s="55">
        <f>J16*365</f>
        <v>22684.75</v>
      </c>
      <c r="K17" s="56" t="s">
        <v>356</v>
      </c>
    </row>
    <row r="18" spans="2:11" ht="15.75" customHeight="1"/>
    <row r="19" spans="2:11" ht="15.75" customHeight="1"/>
    <row r="20" spans="2:11" ht="15.75" customHeight="1"/>
    <row r="21" spans="2:11" ht="15.75" customHeight="1"/>
    <row r="22" spans="2:11" ht="15.75" customHeight="1"/>
    <row r="23" spans="2:11" ht="15.75" customHeight="1">
      <c r="B23" s="395"/>
    </row>
    <row r="24" spans="2:11" ht="15.75" customHeight="1"/>
    <row r="25" spans="2:11" ht="15.75" customHeight="1"/>
    <row r="26" spans="2:11" ht="15.75" customHeight="1"/>
    <row r="27" spans="2:11" ht="15.75" customHeight="1"/>
    <row r="28" spans="2:11" ht="15.75" customHeight="1"/>
    <row r="29" spans="2:11" ht="15.75" customHeight="1"/>
    <row r="30" spans="2:11" ht="15.75" customHeight="1"/>
    <row r="31" spans="2:11" ht="15.75" customHeight="1"/>
    <row r="32" spans="2: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22" ht="15.75" customHeight="1"/>
    <row r="82" spans="2:22" ht="15.75" customHeight="1"/>
    <row r="83" spans="2:22" ht="15.75" customHeight="1"/>
    <row r="84" spans="2:22" ht="15.75" customHeight="1"/>
    <row r="85" spans="2:22" ht="15.75" customHeight="1"/>
    <row r="86" spans="2:22" ht="15.75" customHeight="1"/>
    <row r="87" spans="2:22" ht="15.75" customHeight="1"/>
    <row r="88" spans="2:22" ht="15.75" customHeight="1">
      <c r="B88" s="486"/>
      <c r="C88" s="486"/>
      <c r="D88" s="486"/>
      <c r="E88" s="486"/>
      <c r="F88" s="486"/>
      <c r="G88" s="486"/>
      <c r="H88" s="486"/>
      <c r="I88" s="486"/>
      <c r="J88" s="486"/>
      <c r="K88" s="486"/>
      <c r="L88" s="486"/>
      <c r="M88" s="486"/>
      <c r="N88" s="486"/>
      <c r="O88" s="486"/>
      <c r="P88" s="486"/>
      <c r="Q88" s="486"/>
      <c r="R88" s="486"/>
      <c r="S88" s="486"/>
      <c r="T88" s="486"/>
      <c r="U88" s="486"/>
      <c r="V88" s="486"/>
    </row>
    <row r="89" spans="2:22" ht="15.75" customHeight="1">
      <c r="B89" s="486"/>
      <c r="C89" s="486"/>
      <c r="D89" s="486"/>
      <c r="E89" s="486"/>
      <c r="F89" s="486"/>
      <c r="G89" s="486"/>
      <c r="H89" s="486"/>
      <c r="I89" s="486"/>
      <c r="J89" s="486"/>
      <c r="K89" s="486"/>
      <c r="L89" s="486"/>
      <c r="M89" s="486"/>
      <c r="N89" s="486"/>
      <c r="O89" s="486"/>
      <c r="P89" s="486"/>
      <c r="Q89" s="486"/>
      <c r="R89" s="486"/>
      <c r="S89" s="486"/>
      <c r="T89" s="486"/>
      <c r="U89" s="486"/>
      <c r="V89" s="486"/>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t="s">
        <v>528</v>
      </c>
      <c r="C91" s="486"/>
      <c r="D91" s="486">
        <f>D89+D90</f>
        <v>0</v>
      </c>
      <c r="E91" s="486">
        <f t="shared" ref="E91:V91" si="1">E89+E90</f>
        <v>0</v>
      </c>
      <c r="F91" s="486">
        <f t="shared" si="1"/>
        <v>0</v>
      </c>
      <c r="G91" s="486">
        <f t="shared" si="1"/>
        <v>0</v>
      </c>
      <c r="H91" s="486">
        <f t="shared" si="1"/>
        <v>0</v>
      </c>
      <c r="I91" s="486">
        <f t="shared" si="1"/>
        <v>0</v>
      </c>
      <c r="J91" s="486">
        <f t="shared" si="1"/>
        <v>0</v>
      </c>
      <c r="K91" s="486">
        <f t="shared" si="1"/>
        <v>0</v>
      </c>
      <c r="L91" s="486">
        <f t="shared" si="1"/>
        <v>0</v>
      </c>
      <c r="M91" s="486">
        <f t="shared" si="1"/>
        <v>0</v>
      </c>
      <c r="N91" s="486">
        <f t="shared" si="1"/>
        <v>0</v>
      </c>
      <c r="O91" s="486">
        <f t="shared" si="1"/>
        <v>0</v>
      </c>
      <c r="P91" s="486">
        <f t="shared" si="1"/>
        <v>0</v>
      </c>
      <c r="Q91" s="486">
        <f t="shared" si="1"/>
        <v>0</v>
      </c>
      <c r="R91" s="486">
        <f t="shared" si="1"/>
        <v>0</v>
      </c>
      <c r="S91" s="486">
        <f t="shared" si="1"/>
        <v>0</v>
      </c>
      <c r="T91" s="486">
        <f t="shared" si="1"/>
        <v>0</v>
      </c>
      <c r="U91" s="486">
        <f t="shared" si="1"/>
        <v>0</v>
      </c>
      <c r="V91" s="486">
        <f t="shared" si="1"/>
        <v>0</v>
      </c>
    </row>
    <row r="92" spans="2:22" ht="15.75" customHeight="1"/>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c r="B94" s="486"/>
      <c r="C94" s="486"/>
      <c r="D94" s="486"/>
      <c r="E94" s="486"/>
      <c r="F94" s="486"/>
      <c r="G94" s="486"/>
      <c r="H94" s="486"/>
      <c r="I94" s="486"/>
      <c r="J94" s="486"/>
      <c r="K94" s="486"/>
      <c r="L94" s="486"/>
      <c r="M94" s="486"/>
      <c r="N94" s="486"/>
      <c r="O94" s="486"/>
      <c r="P94" s="486"/>
      <c r="Q94" s="486"/>
      <c r="R94" s="486"/>
      <c r="S94" s="486"/>
      <c r="T94" s="486"/>
      <c r="U94" s="486"/>
      <c r="V94" s="486"/>
    </row>
    <row r="95" spans="2:22" ht="15.75" customHeight="1">
      <c r="B95" s="486"/>
      <c r="C95" s="486"/>
      <c r="D95" s="486"/>
      <c r="E95" s="486"/>
      <c r="F95" s="486"/>
      <c r="G95" s="486"/>
      <c r="H95" s="486"/>
      <c r="I95" s="486"/>
      <c r="J95" s="486"/>
      <c r="K95" s="486"/>
      <c r="L95" s="486"/>
      <c r="M95" s="486"/>
      <c r="N95" s="486"/>
      <c r="O95" s="486"/>
      <c r="P95" s="486"/>
      <c r="Q95" s="486"/>
      <c r="R95" s="486"/>
      <c r="S95" s="486"/>
      <c r="T95" s="486"/>
      <c r="U95" s="486"/>
      <c r="V95" s="486"/>
    </row>
    <row r="96" spans="2:22" ht="15.75" customHeight="1">
      <c r="B96" s="486" t="s">
        <v>133</v>
      </c>
      <c r="C96" s="486"/>
      <c r="D96" s="486">
        <f>D94+D95</f>
        <v>0</v>
      </c>
      <c r="E96" s="486">
        <f t="shared" ref="E96:V96" si="2">E94+E95</f>
        <v>0</v>
      </c>
      <c r="F96" s="486">
        <f t="shared" si="2"/>
        <v>0</v>
      </c>
      <c r="G96" s="486">
        <f t="shared" si="2"/>
        <v>0</v>
      </c>
      <c r="H96" s="486">
        <f t="shared" si="2"/>
        <v>0</v>
      </c>
      <c r="I96" s="486">
        <f t="shared" si="2"/>
        <v>0</v>
      </c>
      <c r="J96" s="486">
        <f t="shared" si="2"/>
        <v>0</v>
      </c>
      <c r="K96" s="486">
        <f t="shared" si="2"/>
        <v>0</v>
      </c>
      <c r="L96" s="486">
        <f t="shared" si="2"/>
        <v>0</v>
      </c>
      <c r="M96" s="486">
        <f t="shared" si="2"/>
        <v>0</v>
      </c>
      <c r="N96" s="486">
        <f t="shared" si="2"/>
        <v>0</v>
      </c>
      <c r="O96" s="486">
        <f t="shared" si="2"/>
        <v>0</v>
      </c>
      <c r="P96" s="486">
        <f t="shared" si="2"/>
        <v>0</v>
      </c>
      <c r="Q96" s="486">
        <f t="shared" si="2"/>
        <v>0</v>
      </c>
      <c r="R96" s="486">
        <f t="shared" si="2"/>
        <v>0</v>
      </c>
      <c r="S96" s="486">
        <f t="shared" si="2"/>
        <v>0</v>
      </c>
      <c r="T96" s="486">
        <f t="shared" si="2"/>
        <v>0</v>
      </c>
      <c r="U96" s="486">
        <f t="shared" si="2"/>
        <v>0</v>
      </c>
      <c r="V96" s="486">
        <f t="shared" si="2"/>
        <v>0</v>
      </c>
    </row>
    <row r="97" spans="2:22" ht="15.75" customHeight="1"/>
    <row r="98" spans="2:22" ht="15.75" customHeight="1">
      <c r="B98" s="486" t="s">
        <v>529</v>
      </c>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c r="B99" s="486"/>
      <c r="C99" s="486"/>
      <c r="D99" s="486"/>
      <c r="E99" s="486"/>
      <c r="F99" s="486"/>
      <c r="G99" s="486"/>
      <c r="H99" s="486"/>
      <c r="I99" s="486"/>
      <c r="J99" s="486"/>
      <c r="K99" s="486"/>
      <c r="L99" s="486"/>
      <c r="M99" s="486"/>
      <c r="N99" s="486"/>
      <c r="O99" s="486"/>
      <c r="P99" s="486"/>
      <c r="Q99" s="486"/>
      <c r="R99" s="486"/>
      <c r="S99" s="486"/>
      <c r="T99" s="486"/>
      <c r="U99" s="486"/>
      <c r="V99" s="486"/>
    </row>
    <row r="100" spans="2:22" ht="15.75" customHeight="1">
      <c r="B100" s="486"/>
      <c r="C100" s="486"/>
      <c r="D100" s="486"/>
      <c r="E100" s="486"/>
      <c r="F100" s="486"/>
      <c r="G100" s="486"/>
      <c r="H100" s="486"/>
      <c r="I100" s="486"/>
      <c r="J100" s="486"/>
      <c r="K100" s="486"/>
      <c r="L100" s="486"/>
      <c r="M100" s="486"/>
      <c r="N100" s="486"/>
      <c r="O100" s="486"/>
      <c r="P100" s="486"/>
      <c r="Q100" s="486"/>
      <c r="R100" s="486"/>
      <c r="S100" s="486"/>
      <c r="T100" s="486"/>
      <c r="U100" s="486"/>
      <c r="V100" s="486"/>
    </row>
    <row r="101" spans="2:22" ht="15.75" customHeight="1">
      <c r="B101" s="486" t="s">
        <v>133</v>
      </c>
      <c r="C101" s="486"/>
      <c r="D101" s="486">
        <f>D99+D100</f>
        <v>0</v>
      </c>
      <c r="E101" s="486">
        <f t="shared" ref="E101:V101" si="3">E99+E100</f>
        <v>0</v>
      </c>
      <c r="F101" s="486">
        <f t="shared" si="3"/>
        <v>0</v>
      </c>
      <c r="G101" s="486">
        <f t="shared" si="3"/>
        <v>0</v>
      </c>
      <c r="H101" s="486">
        <f t="shared" si="3"/>
        <v>0</v>
      </c>
      <c r="I101" s="486">
        <f t="shared" si="3"/>
        <v>0</v>
      </c>
      <c r="J101" s="486">
        <f t="shared" si="3"/>
        <v>0</v>
      </c>
      <c r="K101" s="486">
        <f t="shared" si="3"/>
        <v>0</v>
      </c>
      <c r="L101" s="486">
        <f t="shared" si="3"/>
        <v>0</v>
      </c>
      <c r="M101" s="486">
        <f t="shared" si="3"/>
        <v>0</v>
      </c>
      <c r="N101" s="486">
        <f t="shared" si="3"/>
        <v>0</v>
      </c>
      <c r="O101" s="486">
        <f t="shared" si="3"/>
        <v>0</v>
      </c>
      <c r="P101" s="486">
        <f t="shared" si="3"/>
        <v>0</v>
      </c>
      <c r="Q101" s="486">
        <f t="shared" si="3"/>
        <v>0</v>
      </c>
      <c r="R101" s="486">
        <f t="shared" si="3"/>
        <v>0</v>
      </c>
      <c r="S101" s="486">
        <f t="shared" si="3"/>
        <v>0</v>
      </c>
      <c r="T101" s="486">
        <f t="shared" si="3"/>
        <v>0</v>
      </c>
      <c r="U101" s="486">
        <f t="shared" si="3"/>
        <v>0</v>
      </c>
      <c r="V101" s="486">
        <f t="shared" si="3"/>
        <v>0</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
    <mergeCell ref="B2:D2"/>
    <mergeCell ref="B4:B5"/>
    <mergeCell ref="C4:R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E3696-F11B-48F3-8F4F-B5288A6AF3F8}">
  <sheetPr>
    <tabColor theme="4" tint="0.59999389629810485"/>
    <outlinePr summaryBelow="0" summaryRight="0"/>
  </sheetPr>
  <dimension ref="B1:W1003"/>
  <sheetViews>
    <sheetView workbookViewId="0">
      <selection activeCell="B103" sqref="B103:B105"/>
    </sheetView>
  </sheetViews>
  <sheetFormatPr defaultColWidth="12.6640625" defaultRowHeight="15" customHeight="1"/>
  <cols>
    <col min="1" max="2" width="12.6640625" style="10" customWidth="1"/>
    <col min="3" max="3" width="48.6640625" style="10" customWidth="1"/>
    <col min="4" max="4" width="32.21875" style="10" customWidth="1"/>
    <col min="5" max="6" width="12.6640625" style="10" customWidth="1"/>
    <col min="7" max="7" width="14.109375" style="10" customWidth="1"/>
    <col min="8" max="8" width="19.109375" style="10" customWidth="1"/>
    <col min="9" max="9" width="25.6640625" style="10" customWidth="1"/>
    <col min="10" max="10" width="18.44140625" style="10" customWidth="1"/>
    <col min="11" max="16384" width="12.6640625" style="10"/>
  </cols>
  <sheetData>
    <row r="1" spans="2:23" ht="15.75" customHeight="1"/>
    <row r="2" spans="2:23" ht="15.75" customHeight="1">
      <c r="B2" s="738" t="s">
        <v>389</v>
      </c>
      <c r="C2" s="688"/>
      <c r="D2" s="688"/>
      <c r="E2" s="348"/>
      <c r="F2" s="348"/>
      <c r="G2" s="348"/>
      <c r="H2" s="348"/>
      <c r="I2" s="348"/>
      <c r="J2" s="348"/>
      <c r="K2" s="348"/>
      <c r="L2" s="348"/>
      <c r="M2" s="348"/>
      <c r="N2" s="348"/>
      <c r="O2" s="348"/>
      <c r="P2" s="348"/>
      <c r="Q2" s="348"/>
      <c r="R2" s="348"/>
    </row>
    <row r="3" spans="2:23" ht="15.75" customHeight="1">
      <c r="B3" s="306"/>
      <c r="C3" s="341"/>
      <c r="D3" s="348"/>
      <c r="E3" s="348"/>
      <c r="F3" s="348"/>
      <c r="G3" s="348"/>
      <c r="H3" s="348"/>
      <c r="I3" s="348"/>
      <c r="J3" s="348"/>
      <c r="K3" s="348"/>
      <c r="L3" s="348"/>
      <c r="M3" s="348"/>
      <c r="N3" s="348"/>
      <c r="O3" s="348"/>
      <c r="P3" s="348"/>
      <c r="Q3" s="348"/>
      <c r="R3" s="348"/>
    </row>
    <row r="4" spans="2:23" ht="15.75" customHeight="1">
      <c r="B4" s="731"/>
      <c r="C4" s="732" t="s">
        <v>244</v>
      </c>
      <c r="D4" s="670"/>
      <c r="E4" s="670"/>
      <c r="F4" s="670"/>
      <c r="G4" s="670"/>
      <c r="H4" s="670"/>
      <c r="I4" s="670"/>
      <c r="J4" s="670"/>
      <c r="K4" s="670"/>
      <c r="L4" s="670"/>
      <c r="M4" s="670"/>
      <c r="N4" s="670"/>
      <c r="O4" s="670"/>
      <c r="P4" s="670"/>
      <c r="Q4" s="670"/>
      <c r="R4" s="672"/>
      <c r="S4" s="344"/>
      <c r="T4" s="344"/>
      <c r="U4" s="344"/>
    </row>
    <row r="5" spans="2:23" ht="15.75" customHeight="1">
      <c r="B5" s="665"/>
      <c r="C5" s="316" t="s">
        <v>276</v>
      </c>
      <c r="D5" s="345">
        <v>38108</v>
      </c>
      <c r="E5" s="345">
        <v>38504</v>
      </c>
      <c r="F5" s="345">
        <v>38899</v>
      </c>
      <c r="G5" s="345">
        <v>39295</v>
      </c>
      <c r="H5" s="345">
        <v>39692</v>
      </c>
      <c r="I5" s="346">
        <v>40087</v>
      </c>
      <c r="J5" s="346">
        <v>40483</v>
      </c>
      <c r="K5" s="346">
        <v>40878</v>
      </c>
      <c r="L5" s="316" t="s">
        <v>277</v>
      </c>
      <c r="M5" s="316" t="s">
        <v>278</v>
      </c>
      <c r="N5" s="316" t="s">
        <v>210</v>
      </c>
      <c r="O5" s="316" t="s">
        <v>279</v>
      </c>
      <c r="P5" s="316" t="s">
        <v>280</v>
      </c>
      <c r="Q5" s="316" t="s">
        <v>281</v>
      </c>
      <c r="R5" s="316" t="s">
        <v>282</v>
      </c>
      <c r="S5" s="317" t="s">
        <v>283</v>
      </c>
      <c r="T5" s="317" t="s">
        <v>284</v>
      </c>
      <c r="U5" s="317" t="s">
        <v>285</v>
      </c>
      <c r="V5" s="367" t="s">
        <v>286</v>
      </c>
      <c r="W5" s="367" t="s">
        <v>287</v>
      </c>
    </row>
    <row r="6" spans="2:23" ht="15.75" customHeight="1">
      <c r="B6" s="320"/>
      <c r="C6" s="320"/>
      <c r="D6" s="320"/>
      <c r="E6" s="320"/>
      <c r="F6" s="320"/>
      <c r="G6" s="320"/>
      <c r="H6" s="320"/>
      <c r="I6" s="396"/>
      <c r="J6" s="320"/>
      <c r="K6" s="320"/>
      <c r="L6" s="320"/>
      <c r="M6" s="320"/>
      <c r="N6" s="320"/>
      <c r="O6" s="320"/>
      <c r="P6" s="320"/>
      <c r="Q6" s="320"/>
      <c r="R6" s="320"/>
      <c r="S6" s="152"/>
      <c r="T6" s="152"/>
      <c r="U6" s="152"/>
    </row>
    <row r="7" spans="2:23" ht="15.75" customHeight="1">
      <c r="B7" s="352" t="s">
        <v>0</v>
      </c>
      <c r="C7" s="352" t="s">
        <v>272</v>
      </c>
      <c r="D7" s="397">
        <f t="shared" ref="D7:W7" si="0">$H$31</f>
        <v>205265</v>
      </c>
      <c r="E7" s="397">
        <f t="shared" si="0"/>
        <v>205265</v>
      </c>
      <c r="F7" s="397">
        <f t="shared" si="0"/>
        <v>205265</v>
      </c>
      <c r="G7" s="397">
        <f t="shared" si="0"/>
        <v>205265</v>
      </c>
      <c r="H7" s="397">
        <f t="shared" si="0"/>
        <v>205265</v>
      </c>
      <c r="I7" s="397">
        <f t="shared" si="0"/>
        <v>205265</v>
      </c>
      <c r="J7" s="397">
        <f t="shared" si="0"/>
        <v>205265</v>
      </c>
      <c r="K7" s="397">
        <f t="shared" si="0"/>
        <v>205265</v>
      </c>
      <c r="L7" s="397">
        <f t="shared" si="0"/>
        <v>205265</v>
      </c>
      <c r="M7" s="397">
        <f t="shared" si="0"/>
        <v>205265</v>
      </c>
      <c r="N7" s="397">
        <f t="shared" si="0"/>
        <v>205265</v>
      </c>
      <c r="O7" s="397">
        <f t="shared" si="0"/>
        <v>205265</v>
      </c>
      <c r="P7" s="397">
        <f t="shared" si="0"/>
        <v>205265</v>
      </c>
      <c r="Q7" s="397">
        <f t="shared" si="0"/>
        <v>205265</v>
      </c>
      <c r="R7" s="397">
        <f t="shared" si="0"/>
        <v>205265</v>
      </c>
      <c r="S7" s="397">
        <f t="shared" si="0"/>
        <v>205265</v>
      </c>
      <c r="T7" s="397">
        <f t="shared" si="0"/>
        <v>205265</v>
      </c>
      <c r="U7" s="397">
        <f t="shared" si="0"/>
        <v>205265</v>
      </c>
      <c r="V7" s="397">
        <f t="shared" si="0"/>
        <v>205265</v>
      </c>
      <c r="W7" s="397">
        <f t="shared" si="0"/>
        <v>205265</v>
      </c>
    </row>
    <row r="8" spans="2:23" ht="15.75" customHeight="1"/>
    <row r="9" spans="2:23" ht="15.75" customHeight="1">
      <c r="O9" s="361"/>
      <c r="P9" s="361"/>
      <c r="Q9" s="361"/>
      <c r="R9" s="361"/>
    </row>
    <row r="10" spans="2:23" ht="15.75" customHeight="1">
      <c r="B10" s="55" t="s">
        <v>321</v>
      </c>
    </row>
    <row r="11" spans="2:23" ht="15.75" customHeight="1">
      <c r="B11" s="378" t="s">
        <v>322</v>
      </c>
      <c r="C11" s="379" t="s">
        <v>323</v>
      </c>
      <c r="D11" s="379" t="s">
        <v>324</v>
      </c>
      <c r="E11" s="379" t="s">
        <v>366</v>
      </c>
      <c r="F11" s="379" t="s">
        <v>367</v>
      </c>
      <c r="G11" s="379" t="s">
        <v>368</v>
      </c>
      <c r="H11" s="379" t="s">
        <v>369</v>
      </c>
      <c r="I11" s="379" t="s">
        <v>370</v>
      </c>
      <c r="J11" s="398" t="s">
        <v>325</v>
      </c>
      <c r="K11" s="399" t="s">
        <v>326</v>
      </c>
      <c r="L11" s="378" t="s">
        <v>246</v>
      </c>
      <c r="M11" s="379"/>
    </row>
    <row r="12" spans="2:23" ht="15.75" customHeight="1">
      <c r="B12" s="380">
        <v>1</v>
      </c>
      <c r="C12" s="381" t="s">
        <v>390</v>
      </c>
      <c r="D12" s="381" t="s">
        <v>391</v>
      </c>
      <c r="E12" s="381"/>
      <c r="F12" s="381" t="s">
        <v>392</v>
      </c>
      <c r="G12" s="381" t="s">
        <v>393</v>
      </c>
      <c r="H12" s="385">
        <v>0</v>
      </c>
      <c r="I12" s="381" t="s">
        <v>394</v>
      </c>
      <c r="J12" s="400">
        <v>30</v>
      </c>
      <c r="K12" s="401">
        <v>30</v>
      </c>
      <c r="L12" s="402" t="s">
        <v>329</v>
      </c>
      <c r="M12" s="381"/>
    </row>
    <row r="13" spans="2:23" ht="15.75" customHeight="1">
      <c r="B13" s="380">
        <v>3</v>
      </c>
      <c r="C13" s="381" t="s">
        <v>395</v>
      </c>
      <c r="D13" s="381" t="s">
        <v>396</v>
      </c>
      <c r="E13" s="381"/>
      <c r="F13" s="381" t="s">
        <v>386</v>
      </c>
      <c r="G13" s="381" t="s">
        <v>397</v>
      </c>
      <c r="H13" s="385">
        <v>0</v>
      </c>
      <c r="I13" s="381" t="s">
        <v>394</v>
      </c>
      <c r="J13" s="400">
        <v>35</v>
      </c>
      <c r="K13" s="401">
        <v>45</v>
      </c>
      <c r="L13" s="402" t="s">
        <v>329</v>
      </c>
      <c r="M13" s="381"/>
      <c r="N13" s="348"/>
      <c r="O13" s="348"/>
      <c r="P13" s="348"/>
    </row>
    <row r="14" spans="2:23" ht="15.75" customHeight="1">
      <c r="B14" s="380">
        <v>4</v>
      </c>
      <c r="C14" s="381" t="s">
        <v>398</v>
      </c>
      <c r="D14" s="381" t="s">
        <v>399</v>
      </c>
      <c r="E14" s="381" t="s">
        <v>385</v>
      </c>
      <c r="F14" s="381" t="s">
        <v>381</v>
      </c>
      <c r="G14" s="381" t="s">
        <v>400</v>
      </c>
      <c r="H14" s="394">
        <v>1.42</v>
      </c>
      <c r="I14" s="381" t="s">
        <v>401</v>
      </c>
      <c r="J14" s="400"/>
      <c r="K14" s="401">
        <v>15</v>
      </c>
      <c r="L14" s="402" t="s">
        <v>329</v>
      </c>
      <c r="M14" s="381"/>
      <c r="N14" s="348"/>
      <c r="O14" s="348"/>
      <c r="P14" s="348"/>
    </row>
    <row r="15" spans="2:23" ht="15.75" customHeight="1">
      <c r="B15" s="380">
        <v>10</v>
      </c>
      <c r="C15" s="381" t="s">
        <v>402</v>
      </c>
      <c r="D15" s="381" t="s">
        <v>399</v>
      </c>
      <c r="E15" s="381"/>
      <c r="F15" s="381"/>
      <c r="G15" s="381"/>
      <c r="H15" s="394">
        <v>0.17199999999999999</v>
      </c>
      <c r="I15" s="381"/>
      <c r="J15" s="400">
        <v>75</v>
      </c>
      <c r="K15" s="401">
        <v>100</v>
      </c>
      <c r="L15" s="402" t="s">
        <v>329</v>
      </c>
      <c r="M15" s="381"/>
      <c r="N15" s="348"/>
      <c r="O15" s="348"/>
      <c r="P15" s="348"/>
    </row>
    <row r="16" spans="2:23" ht="15.75" customHeight="1">
      <c r="B16" s="380">
        <v>11</v>
      </c>
      <c r="C16" s="381" t="s">
        <v>403</v>
      </c>
      <c r="D16" s="381" t="s">
        <v>18</v>
      </c>
      <c r="E16" s="381" t="s">
        <v>385</v>
      </c>
      <c r="F16" s="381" t="s">
        <v>386</v>
      </c>
      <c r="G16" s="381" t="s">
        <v>404</v>
      </c>
      <c r="H16" s="394">
        <v>3.5999999999999997E-2</v>
      </c>
      <c r="I16" s="381" t="s">
        <v>405</v>
      </c>
      <c r="J16" s="400">
        <v>110000</v>
      </c>
      <c r="K16" s="401">
        <v>120000</v>
      </c>
      <c r="L16" s="402" t="s">
        <v>406</v>
      </c>
      <c r="M16" s="381"/>
      <c r="N16" s="361"/>
      <c r="O16" s="361"/>
      <c r="P16" s="361"/>
    </row>
    <row r="17" spans="2:16" ht="15.75" customHeight="1">
      <c r="B17" s="380">
        <v>12</v>
      </c>
      <c r="C17" s="381" t="s">
        <v>407</v>
      </c>
      <c r="D17" s="381" t="s">
        <v>399</v>
      </c>
      <c r="E17" s="381" t="s">
        <v>373</v>
      </c>
      <c r="F17" s="381" t="s">
        <v>408</v>
      </c>
      <c r="G17" s="381" t="s">
        <v>409</v>
      </c>
      <c r="H17" s="394">
        <v>0.52</v>
      </c>
      <c r="I17" s="381" t="s">
        <v>410</v>
      </c>
      <c r="J17" s="403">
        <v>50</v>
      </c>
      <c r="K17" s="404">
        <v>50</v>
      </c>
      <c r="L17" s="402" t="s">
        <v>329</v>
      </c>
      <c r="M17" s="381"/>
      <c r="N17" s="405"/>
      <c r="O17" s="361"/>
      <c r="P17" s="405"/>
    </row>
    <row r="18" spans="2:16" ht="15.75" customHeight="1">
      <c r="B18" s="380">
        <v>14</v>
      </c>
      <c r="C18" s="381" t="s">
        <v>411</v>
      </c>
      <c r="D18" s="381" t="s">
        <v>18</v>
      </c>
      <c r="E18" s="381" t="s">
        <v>385</v>
      </c>
      <c r="F18" s="381" t="s">
        <v>386</v>
      </c>
      <c r="G18" s="381" t="s">
        <v>412</v>
      </c>
      <c r="H18" s="394">
        <v>0.125</v>
      </c>
      <c r="I18" s="381" t="s">
        <v>413</v>
      </c>
      <c r="J18" s="400">
        <v>56</v>
      </c>
      <c r="K18" s="401">
        <v>105</v>
      </c>
      <c r="L18" s="402" t="s">
        <v>329</v>
      </c>
      <c r="M18" s="381"/>
      <c r="N18" s="371"/>
      <c r="O18" s="348"/>
      <c r="P18" s="406"/>
    </row>
    <row r="19" spans="2:16" ht="15.75" customHeight="1">
      <c r="B19" s="55"/>
      <c r="G19" s="56" t="s">
        <v>414</v>
      </c>
      <c r="H19" s="55">
        <f>SUM(H12:H18)</f>
        <v>2.2729999999999997</v>
      </c>
    </row>
    <row r="20" spans="2:16" ht="15.75" customHeight="1"/>
    <row r="21" spans="2:16" ht="15.75" customHeight="1">
      <c r="B21" s="378" t="s">
        <v>322</v>
      </c>
      <c r="C21" s="379" t="s">
        <v>323</v>
      </c>
      <c r="D21" s="379" t="s">
        <v>324</v>
      </c>
      <c r="E21" s="379" t="s">
        <v>366</v>
      </c>
      <c r="F21" s="379" t="s">
        <v>367</v>
      </c>
      <c r="G21" s="379" t="s">
        <v>368</v>
      </c>
      <c r="H21" s="398" t="s">
        <v>325</v>
      </c>
      <c r="I21" s="399"/>
      <c r="J21" s="378" t="s">
        <v>246</v>
      </c>
    </row>
    <row r="22" spans="2:16" ht="15.75" customHeight="1">
      <c r="B22" s="380">
        <v>1</v>
      </c>
      <c r="C22" s="381" t="s">
        <v>390</v>
      </c>
      <c r="D22" s="381" t="s">
        <v>391</v>
      </c>
      <c r="E22" s="381"/>
      <c r="F22" s="381" t="s">
        <v>392</v>
      </c>
      <c r="G22" s="381" t="s">
        <v>393</v>
      </c>
      <c r="H22" s="400">
        <v>30</v>
      </c>
      <c r="I22" s="401"/>
      <c r="J22" s="402" t="s">
        <v>329</v>
      </c>
    </row>
    <row r="23" spans="2:16" ht="15.75" customHeight="1">
      <c r="B23" s="380">
        <v>3</v>
      </c>
      <c r="C23" s="381" t="s">
        <v>395</v>
      </c>
      <c r="D23" s="381" t="s">
        <v>396</v>
      </c>
      <c r="E23" s="381"/>
      <c r="F23" s="381" t="s">
        <v>386</v>
      </c>
      <c r="G23" s="381" t="s">
        <v>397</v>
      </c>
      <c r="H23" s="400">
        <v>35</v>
      </c>
      <c r="I23" s="401"/>
      <c r="J23" s="402" t="s">
        <v>329</v>
      </c>
    </row>
    <row r="24" spans="2:16" ht="15.75" customHeight="1">
      <c r="B24" s="380">
        <v>4</v>
      </c>
      <c r="C24" s="381" t="s">
        <v>398</v>
      </c>
      <c r="D24" s="381" t="s">
        <v>399</v>
      </c>
      <c r="E24" s="381" t="s">
        <v>385</v>
      </c>
      <c r="F24" s="381" t="s">
        <v>381</v>
      </c>
      <c r="G24" s="381" t="s">
        <v>400</v>
      </c>
      <c r="H24" s="400">
        <f>K14</f>
        <v>15</v>
      </c>
      <c r="I24" s="401"/>
      <c r="J24" s="402" t="s">
        <v>329</v>
      </c>
    </row>
    <row r="25" spans="2:16" ht="15.75" customHeight="1">
      <c r="B25" s="380">
        <v>10</v>
      </c>
      <c r="C25" s="381" t="s">
        <v>402</v>
      </c>
      <c r="D25" s="381" t="s">
        <v>399</v>
      </c>
      <c r="E25" s="381"/>
      <c r="F25" s="381"/>
      <c r="G25" s="381"/>
      <c r="H25" s="400">
        <v>75</v>
      </c>
      <c r="I25" s="401"/>
      <c r="J25" s="402" t="s">
        <v>329</v>
      </c>
    </row>
    <row r="26" spans="2:16" ht="15.75" customHeight="1">
      <c r="B26" s="380">
        <v>11</v>
      </c>
      <c r="C26" s="381" t="s">
        <v>403</v>
      </c>
      <c r="D26" s="381" t="s">
        <v>18</v>
      </c>
      <c r="E26" s="381" t="s">
        <v>385</v>
      </c>
      <c r="F26" s="381" t="s">
        <v>386</v>
      </c>
      <c r="G26" s="381" t="s">
        <v>404</v>
      </c>
      <c r="H26" s="400">
        <v>110000</v>
      </c>
      <c r="I26" s="401"/>
      <c r="J26" s="402" t="s">
        <v>406</v>
      </c>
    </row>
    <row r="27" spans="2:16" ht="15.75" customHeight="1">
      <c r="B27" s="380">
        <v>12</v>
      </c>
      <c r="C27" s="381" t="s">
        <v>407</v>
      </c>
      <c r="D27" s="381" t="s">
        <v>399</v>
      </c>
      <c r="E27" s="381" t="s">
        <v>373</v>
      </c>
      <c r="F27" s="381" t="s">
        <v>408</v>
      </c>
      <c r="G27" s="381" t="s">
        <v>409</v>
      </c>
      <c r="H27" s="403">
        <v>50</v>
      </c>
      <c r="I27" s="404"/>
      <c r="J27" s="402" t="s">
        <v>329</v>
      </c>
    </row>
    <row r="28" spans="2:16" ht="15.75" customHeight="1">
      <c r="B28" s="380">
        <v>14</v>
      </c>
      <c r="C28" s="381" t="s">
        <v>411</v>
      </c>
      <c r="D28" s="381" t="s">
        <v>18</v>
      </c>
      <c r="E28" s="381" t="s">
        <v>385</v>
      </c>
      <c r="F28" s="381" t="s">
        <v>386</v>
      </c>
      <c r="G28" s="381" t="s">
        <v>412</v>
      </c>
      <c r="H28" s="400">
        <v>56</v>
      </c>
      <c r="I28" s="401"/>
      <c r="J28" s="402" t="s">
        <v>329</v>
      </c>
    </row>
    <row r="29" spans="2:16" ht="15.75" customHeight="1">
      <c r="H29" s="56">
        <f>SUM(H22+H23+H24+H25+H27+H28)</f>
        <v>261</v>
      </c>
      <c r="I29" s="56" t="s">
        <v>415</v>
      </c>
    </row>
    <row r="30" spans="2:16" ht="15.75" customHeight="1">
      <c r="H30" s="56">
        <f>H29*365</f>
        <v>95265</v>
      </c>
      <c r="I30" s="56" t="s">
        <v>416</v>
      </c>
    </row>
    <row r="31" spans="2:16" ht="15.75" customHeight="1">
      <c r="G31" s="56" t="s">
        <v>133</v>
      </c>
      <c r="H31" s="56">
        <f>H30+H26</f>
        <v>205265</v>
      </c>
      <c r="I31" s="56" t="s">
        <v>417</v>
      </c>
    </row>
    <row r="32" spans="2:16" ht="15.75" customHeight="1">
      <c r="C32" s="132"/>
      <c r="G32" s="56" t="s">
        <v>133</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22" ht="15.75" customHeight="1"/>
    <row r="82" spans="2:22" ht="15.75" customHeight="1"/>
    <row r="83" spans="2:22" ht="15.75" customHeight="1"/>
    <row r="84" spans="2:22" ht="15.75" customHeight="1"/>
    <row r="85" spans="2:22" ht="15.75" customHeight="1"/>
    <row r="86" spans="2:22" ht="15.75" customHeight="1"/>
    <row r="87" spans="2:22" ht="15.75" customHeight="1"/>
    <row r="88" spans="2:22" ht="15.75" customHeight="1">
      <c r="B88" s="486"/>
      <c r="C88" s="486"/>
      <c r="D88" s="486"/>
      <c r="E88" s="486"/>
      <c r="F88" s="486"/>
      <c r="G88" s="486"/>
      <c r="H88" s="486"/>
      <c r="I88" s="486"/>
      <c r="J88" s="486"/>
      <c r="K88" s="486"/>
      <c r="L88" s="486"/>
      <c r="M88" s="486"/>
      <c r="N88" s="486"/>
      <c r="O88" s="486"/>
      <c r="P88" s="486"/>
      <c r="Q88" s="486"/>
      <c r="R88" s="486"/>
      <c r="S88" s="486"/>
      <c r="T88" s="486"/>
      <c r="U88" s="486"/>
      <c r="V88" s="486"/>
    </row>
    <row r="89" spans="2:22" ht="15.75" customHeight="1">
      <c r="B89" s="486"/>
      <c r="C89" s="486"/>
      <c r="D89" s="486"/>
      <c r="E89" s="486"/>
      <c r="F89" s="486"/>
      <c r="G89" s="486"/>
      <c r="H89" s="486"/>
      <c r="I89" s="486"/>
      <c r="J89" s="486"/>
      <c r="K89" s="486"/>
      <c r="L89" s="486"/>
      <c r="M89" s="486"/>
      <c r="N89" s="486"/>
      <c r="O89" s="486"/>
      <c r="P89" s="486"/>
      <c r="Q89" s="486"/>
      <c r="R89" s="486"/>
      <c r="S89" s="486"/>
      <c r="T89" s="486"/>
      <c r="U89" s="486"/>
      <c r="V89" s="486"/>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t="s">
        <v>528</v>
      </c>
      <c r="C91" s="486"/>
      <c r="D91" s="486">
        <f>D89+D90</f>
        <v>0</v>
      </c>
      <c r="E91" s="486">
        <f t="shared" ref="E91:V91" si="1">E89+E90</f>
        <v>0</v>
      </c>
      <c r="F91" s="486">
        <f t="shared" si="1"/>
        <v>0</v>
      </c>
      <c r="G91" s="486">
        <f t="shared" si="1"/>
        <v>0</v>
      </c>
      <c r="H91" s="486">
        <f t="shared" si="1"/>
        <v>0</v>
      </c>
      <c r="I91" s="486">
        <f t="shared" si="1"/>
        <v>0</v>
      </c>
      <c r="J91" s="486">
        <f t="shared" si="1"/>
        <v>0</v>
      </c>
      <c r="K91" s="486">
        <f t="shared" si="1"/>
        <v>0</v>
      </c>
      <c r="L91" s="486">
        <f t="shared" si="1"/>
        <v>0</v>
      </c>
      <c r="M91" s="486">
        <f t="shared" si="1"/>
        <v>0</v>
      </c>
      <c r="N91" s="486">
        <f t="shared" si="1"/>
        <v>0</v>
      </c>
      <c r="O91" s="486">
        <f t="shared" si="1"/>
        <v>0</v>
      </c>
      <c r="P91" s="486">
        <f t="shared" si="1"/>
        <v>0</v>
      </c>
      <c r="Q91" s="486">
        <f t="shared" si="1"/>
        <v>0</v>
      </c>
      <c r="R91" s="486">
        <f t="shared" si="1"/>
        <v>0</v>
      </c>
      <c r="S91" s="486">
        <f t="shared" si="1"/>
        <v>0</v>
      </c>
      <c r="T91" s="486">
        <f t="shared" si="1"/>
        <v>0</v>
      </c>
      <c r="U91" s="486">
        <f t="shared" si="1"/>
        <v>0</v>
      </c>
      <c r="V91" s="486">
        <f t="shared" si="1"/>
        <v>0</v>
      </c>
    </row>
    <row r="92" spans="2:22" ht="15.75" customHeight="1"/>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c r="B94" s="486"/>
      <c r="C94" s="486"/>
      <c r="D94" s="486"/>
      <c r="E94" s="486"/>
      <c r="F94" s="486"/>
      <c r="G94" s="486"/>
      <c r="H94" s="486"/>
      <c r="I94" s="486"/>
      <c r="J94" s="486"/>
      <c r="K94" s="486"/>
      <c r="L94" s="486"/>
      <c r="M94" s="486"/>
      <c r="N94" s="486"/>
      <c r="O94" s="486"/>
      <c r="P94" s="486"/>
      <c r="Q94" s="486"/>
      <c r="R94" s="486"/>
      <c r="S94" s="486"/>
      <c r="T94" s="486"/>
      <c r="U94" s="486"/>
      <c r="V94" s="486"/>
    </row>
    <row r="95" spans="2:22" ht="15.75" customHeight="1">
      <c r="B95" s="486"/>
      <c r="C95" s="486"/>
      <c r="D95" s="486"/>
      <c r="E95" s="486"/>
      <c r="F95" s="486"/>
      <c r="G95" s="486"/>
      <c r="H95" s="486"/>
      <c r="I95" s="486"/>
      <c r="J95" s="486"/>
      <c r="K95" s="486"/>
      <c r="L95" s="486"/>
      <c r="M95" s="486"/>
      <c r="N95" s="486"/>
      <c r="O95" s="486"/>
      <c r="P95" s="486"/>
      <c r="Q95" s="486"/>
      <c r="R95" s="486"/>
      <c r="S95" s="486"/>
      <c r="T95" s="486"/>
      <c r="U95" s="486"/>
      <c r="V95" s="486"/>
    </row>
    <row r="96" spans="2:22" ht="15.75" customHeight="1">
      <c r="B96" s="486" t="s">
        <v>133</v>
      </c>
      <c r="C96" s="486"/>
      <c r="D96" s="486">
        <f>D94+D95</f>
        <v>0</v>
      </c>
      <c r="E96" s="486">
        <f t="shared" ref="E96:V96" si="2">E94+E95</f>
        <v>0</v>
      </c>
      <c r="F96" s="486">
        <f t="shared" si="2"/>
        <v>0</v>
      </c>
      <c r="G96" s="486">
        <f t="shared" si="2"/>
        <v>0</v>
      </c>
      <c r="H96" s="486">
        <f t="shared" si="2"/>
        <v>0</v>
      </c>
      <c r="I96" s="486">
        <f t="shared" si="2"/>
        <v>0</v>
      </c>
      <c r="J96" s="486">
        <f t="shared" si="2"/>
        <v>0</v>
      </c>
      <c r="K96" s="486">
        <f t="shared" si="2"/>
        <v>0</v>
      </c>
      <c r="L96" s="486">
        <f t="shared" si="2"/>
        <v>0</v>
      </c>
      <c r="M96" s="486">
        <f t="shared" si="2"/>
        <v>0</v>
      </c>
      <c r="N96" s="486">
        <f t="shared" si="2"/>
        <v>0</v>
      </c>
      <c r="O96" s="486">
        <f t="shared" si="2"/>
        <v>0</v>
      </c>
      <c r="P96" s="486">
        <f t="shared" si="2"/>
        <v>0</v>
      </c>
      <c r="Q96" s="486">
        <f t="shared" si="2"/>
        <v>0</v>
      </c>
      <c r="R96" s="486">
        <f t="shared" si="2"/>
        <v>0</v>
      </c>
      <c r="S96" s="486">
        <f t="shared" si="2"/>
        <v>0</v>
      </c>
      <c r="T96" s="486">
        <f t="shared" si="2"/>
        <v>0</v>
      </c>
      <c r="U96" s="486">
        <f t="shared" si="2"/>
        <v>0</v>
      </c>
      <c r="V96" s="486">
        <f t="shared" si="2"/>
        <v>0</v>
      </c>
    </row>
    <row r="97" spans="2:22" ht="15.75" customHeight="1"/>
    <row r="98" spans="2:22" ht="15.75" customHeight="1">
      <c r="B98" s="486" t="s">
        <v>529</v>
      </c>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c r="B99" s="486"/>
      <c r="C99" s="486"/>
      <c r="D99" s="486"/>
      <c r="E99" s="486"/>
      <c r="F99" s="486"/>
      <c r="G99" s="486"/>
      <c r="H99" s="486"/>
      <c r="I99" s="486"/>
      <c r="J99" s="486"/>
      <c r="K99" s="486"/>
      <c r="L99" s="486"/>
      <c r="M99" s="486"/>
      <c r="N99" s="486"/>
      <c r="O99" s="486"/>
      <c r="P99" s="486"/>
      <c r="Q99" s="486"/>
      <c r="R99" s="486"/>
      <c r="S99" s="486"/>
      <c r="T99" s="486"/>
      <c r="U99" s="486"/>
      <c r="V99" s="486"/>
    </row>
    <row r="100" spans="2:22" ht="15.75" customHeight="1">
      <c r="B100" s="486"/>
      <c r="C100" s="486"/>
      <c r="D100" s="486"/>
      <c r="E100" s="486"/>
      <c r="F100" s="486"/>
      <c r="G100" s="486"/>
      <c r="H100" s="486"/>
      <c r="I100" s="486"/>
      <c r="J100" s="486"/>
      <c r="K100" s="486"/>
      <c r="L100" s="486"/>
      <c r="M100" s="486"/>
      <c r="N100" s="486"/>
      <c r="O100" s="486"/>
      <c r="P100" s="486"/>
      <c r="Q100" s="486"/>
      <c r="R100" s="486"/>
      <c r="S100" s="486"/>
      <c r="T100" s="486"/>
      <c r="U100" s="486"/>
      <c r="V100" s="486"/>
    </row>
    <row r="101" spans="2:22" ht="15.75" customHeight="1">
      <c r="B101" s="486" t="s">
        <v>133</v>
      </c>
      <c r="C101" s="486"/>
      <c r="D101" s="486">
        <f>D99+D100</f>
        <v>0</v>
      </c>
      <c r="E101" s="486">
        <f t="shared" ref="E101:V101" si="3">E99+E100</f>
        <v>0</v>
      </c>
      <c r="F101" s="486">
        <f t="shared" si="3"/>
        <v>0</v>
      </c>
      <c r="G101" s="486">
        <f t="shared" si="3"/>
        <v>0</v>
      </c>
      <c r="H101" s="486">
        <f t="shared" si="3"/>
        <v>0</v>
      </c>
      <c r="I101" s="486">
        <f t="shared" si="3"/>
        <v>0</v>
      </c>
      <c r="J101" s="486">
        <f t="shared" si="3"/>
        <v>0</v>
      </c>
      <c r="K101" s="486">
        <f t="shared" si="3"/>
        <v>0</v>
      </c>
      <c r="L101" s="486">
        <f t="shared" si="3"/>
        <v>0</v>
      </c>
      <c r="M101" s="486">
        <f t="shared" si="3"/>
        <v>0</v>
      </c>
      <c r="N101" s="486">
        <f t="shared" si="3"/>
        <v>0</v>
      </c>
      <c r="O101" s="486">
        <f t="shared" si="3"/>
        <v>0</v>
      </c>
      <c r="P101" s="486">
        <f t="shared" si="3"/>
        <v>0</v>
      </c>
      <c r="Q101" s="486">
        <f t="shared" si="3"/>
        <v>0</v>
      </c>
      <c r="R101" s="486">
        <f t="shared" si="3"/>
        <v>0</v>
      </c>
      <c r="S101" s="486">
        <f t="shared" si="3"/>
        <v>0</v>
      </c>
      <c r="T101" s="486">
        <f t="shared" si="3"/>
        <v>0</v>
      </c>
      <c r="U101" s="486">
        <f t="shared" si="3"/>
        <v>0</v>
      </c>
      <c r="V101" s="486">
        <f t="shared" si="3"/>
        <v>0</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
    <mergeCell ref="B2:D2"/>
    <mergeCell ref="B4:B5"/>
    <mergeCell ref="C4:R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AB823-8213-460A-8F69-7C9FAE421FC8}">
  <dimension ref="A1:V17"/>
  <sheetViews>
    <sheetView workbookViewId="0">
      <selection activeCell="B5" sqref="B5:T17"/>
    </sheetView>
  </sheetViews>
  <sheetFormatPr defaultRowHeight="14.4"/>
  <cols>
    <col min="1" max="1" width="24.5546875" bestFit="1" customWidth="1"/>
    <col min="2" max="2" width="18.33203125" bestFit="1" customWidth="1"/>
    <col min="3" max="20" width="15.6640625" bestFit="1" customWidth="1"/>
  </cols>
  <sheetData>
    <row r="1" spans="1:22">
      <c r="A1" s="5" t="s">
        <v>6</v>
      </c>
      <c r="B1" t="s">
        <v>30</v>
      </c>
    </row>
    <row r="2" spans="1:22">
      <c r="A2" s="5" t="s">
        <v>7</v>
      </c>
      <c r="B2" t="s">
        <v>25</v>
      </c>
    </row>
    <row r="4" spans="1:22">
      <c r="A4" s="5" t="s">
        <v>28</v>
      </c>
      <c r="B4" t="s">
        <v>31</v>
      </c>
      <c r="C4" t="s">
        <v>32</v>
      </c>
      <c r="D4" t="s">
        <v>33</v>
      </c>
      <c r="E4" t="s">
        <v>34</v>
      </c>
      <c r="F4" t="s">
        <v>35</v>
      </c>
      <c r="G4" t="s">
        <v>36</v>
      </c>
      <c r="H4" t="s">
        <v>37</v>
      </c>
      <c r="I4" t="s">
        <v>38</v>
      </c>
      <c r="J4" t="s">
        <v>39</v>
      </c>
      <c r="K4" t="s">
        <v>40</v>
      </c>
      <c r="L4" t="s">
        <v>41</v>
      </c>
      <c r="M4" t="s">
        <v>42</v>
      </c>
      <c r="N4" t="s">
        <v>46</v>
      </c>
      <c r="O4" t="s">
        <v>45</v>
      </c>
      <c r="P4" t="s">
        <v>44</v>
      </c>
      <c r="Q4" t="s">
        <v>43</v>
      </c>
      <c r="R4" t="s">
        <v>47</v>
      </c>
      <c r="S4" t="s">
        <v>616</v>
      </c>
      <c r="T4" t="s">
        <v>617</v>
      </c>
    </row>
    <row r="5" spans="1:22">
      <c r="A5" s="6" t="s">
        <v>22</v>
      </c>
      <c r="B5" s="773">
        <v>1799979.5855337025</v>
      </c>
      <c r="C5" s="773">
        <v>1801536.6739904243</v>
      </c>
      <c r="D5" s="773">
        <v>1802885.6613418395</v>
      </c>
      <c r="E5" s="773">
        <v>1804195.5746814737</v>
      </c>
      <c r="F5" s="773">
        <v>1807432.3557333001</v>
      </c>
      <c r="G5" s="773">
        <v>1808327.7235078907</v>
      </c>
      <c r="H5" s="773">
        <v>1771674.6476283357</v>
      </c>
      <c r="I5" s="773">
        <v>1772424.3002812422</v>
      </c>
      <c r="J5" s="773">
        <v>1773266.9083120376</v>
      </c>
      <c r="K5" s="773">
        <v>1774253.0194570334</v>
      </c>
      <c r="L5" s="773">
        <v>1775435.0545662777</v>
      </c>
      <c r="M5" s="773">
        <v>1787531.8342881654</v>
      </c>
      <c r="N5" s="773">
        <v>1825217.9557294303</v>
      </c>
      <c r="O5" s="773">
        <v>1815809.3492790735</v>
      </c>
      <c r="P5" s="773">
        <v>1806400.7428287165</v>
      </c>
      <c r="Q5" s="773">
        <v>1796992.1363783593</v>
      </c>
      <c r="R5" s="773">
        <v>1834626.5621797876</v>
      </c>
      <c r="S5" s="773">
        <v>1842070.7343163339</v>
      </c>
      <c r="T5" s="773">
        <v>1849463.2108130432</v>
      </c>
    </row>
    <row r="6" spans="1:22">
      <c r="A6" s="7" t="s">
        <v>218</v>
      </c>
      <c r="B6" s="773">
        <v>1799979.5855337025</v>
      </c>
      <c r="C6" s="773">
        <v>1801536.6739904243</v>
      </c>
      <c r="D6" s="773">
        <v>1802885.6613418395</v>
      </c>
      <c r="E6" s="773">
        <v>1804195.5746814737</v>
      </c>
      <c r="F6" s="773">
        <v>1807432.3557333001</v>
      </c>
      <c r="G6" s="773">
        <v>1808327.7235078907</v>
      </c>
      <c r="H6" s="773">
        <v>1771674.6476283357</v>
      </c>
      <c r="I6" s="773">
        <v>1772424.3002812422</v>
      </c>
      <c r="J6" s="773">
        <v>1773266.9083120376</v>
      </c>
      <c r="K6" s="773">
        <v>1774253.0194570334</v>
      </c>
      <c r="L6" s="773">
        <v>1775435.0545662777</v>
      </c>
      <c r="M6" s="773">
        <v>1787531.8342881654</v>
      </c>
      <c r="N6" s="773">
        <v>1825217.9557294303</v>
      </c>
      <c r="O6" s="773">
        <v>1815809.3492790735</v>
      </c>
      <c r="P6" s="773">
        <v>1806400.7428287165</v>
      </c>
      <c r="Q6" s="773">
        <v>1796992.1363783593</v>
      </c>
      <c r="R6" s="773">
        <v>1834626.5621797876</v>
      </c>
      <c r="S6" s="773">
        <v>1842070.7343163339</v>
      </c>
      <c r="T6" s="773">
        <v>1849463.2108130432</v>
      </c>
    </row>
    <row r="7" spans="1:22">
      <c r="A7" s="6" t="s">
        <v>11</v>
      </c>
      <c r="B7" s="773">
        <v>32249.667245636032</v>
      </c>
      <c r="C7" s="773">
        <v>32707.037248372013</v>
      </c>
      <c r="D7" s="773">
        <v>33183.086966566261</v>
      </c>
      <c r="E7" s="773">
        <v>32065.983376962984</v>
      </c>
      <c r="F7" s="773">
        <v>32399.671021285831</v>
      </c>
      <c r="G7" s="773">
        <v>33241.956372859015</v>
      </c>
      <c r="H7" s="773">
        <v>33898.293647824816</v>
      </c>
      <c r="I7" s="773">
        <v>34543.875935102522</v>
      </c>
      <c r="J7" s="773">
        <v>34960.490195020437</v>
      </c>
      <c r="K7" s="773">
        <v>35293.328761367906</v>
      </c>
      <c r="L7" s="773">
        <v>35681.923448098416</v>
      </c>
      <c r="M7" s="773">
        <v>36659.212197756417</v>
      </c>
      <c r="N7" s="773">
        <v>39381.356186812503</v>
      </c>
      <c r="O7" s="773">
        <v>41768.397401586786</v>
      </c>
      <c r="P7" s="773">
        <v>40646.199344131244</v>
      </c>
      <c r="Q7" s="773">
        <v>38616.902982982137</v>
      </c>
      <c r="R7" s="773">
        <v>40033.731097893215</v>
      </c>
      <c r="S7" s="773">
        <v>40983.422348186694</v>
      </c>
      <c r="T7" s="773">
        <v>41591.081021149686</v>
      </c>
      <c r="V7" s="8"/>
    </row>
    <row r="8" spans="1:22">
      <c r="A8" s="7" t="s">
        <v>16</v>
      </c>
      <c r="B8" s="773">
        <v>1362.0212143125002</v>
      </c>
      <c r="C8" s="773">
        <v>1362.0212143125002</v>
      </c>
      <c r="D8" s="773">
        <v>1362.0212143125002</v>
      </c>
      <c r="E8" s="773">
        <v>1362.0212143125002</v>
      </c>
      <c r="F8" s="773">
        <v>1362.0212143125002</v>
      </c>
      <c r="G8" s="773">
        <v>1362.0212143125002</v>
      </c>
      <c r="H8" s="773">
        <v>1362.0212143125002</v>
      </c>
      <c r="I8" s="773">
        <v>1362.0212143125002</v>
      </c>
      <c r="J8" s="773">
        <v>1362.0212143125002</v>
      </c>
      <c r="K8" s="773">
        <v>1362.0212143125002</v>
      </c>
      <c r="L8" s="773">
        <v>1362.0212143125002</v>
      </c>
      <c r="M8" s="773">
        <v>1362.0212143125002</v>
      </c>
      <c r="N8" s="773">
        <v>1362.0212143125002</v>
      </c>
      <c r="O8" s="773">
        <v>1362.0212143125002</v>
      </c>
      <c r="P8" s="773">
        <v>1362.0212143125002</v>
      </c>
      <c r="Q8" s="773">
        <v>1362.0212143125002</v>
      </c>
      <c r="R8" s="773">
        <v>1362.0212143125002</v>
      </c>
      <c r="S8" s="773">
        <v>1362.0212143125002</v>
      </c>
      <c r="T8" s="773">
        <v>1362.0212143125002</v>
      </c>
    </row>
    <row r="9" spans="1:22">
      <c r="A9" s="7" t="s">
        <v>21</v>
      </c>
      <c r="B9" s="773">
        <v>2186.7089737499996</v>
      </c>
      <c r="C9" s="773">
        <v>2186.7089737499996</v>
      </c>
      <c r="D9" s="773">
        <v>2186.7089737499996</v>
      </c>
      <c r="E9" s="773">
        <v>2186.7089737499996</v>
      </c>
      <c r="F9" s="773">
        <v>2186.7089737499996</v>
      </c>
      <c r="G9" s="773">
        <v>2186.7089737499996</v>
      </c>
      <c r="H9" s="773">
        <v>2186.7089737499996</v>
      </c>
      <c r="I9" s="773">
        <v>2186.7089737499996</v>
      </c>
      <c r="J9" s="773">
        <v>2186.7089737499996</v>
      </c>
      <c r="K9" s="773">
        <v>2186.7089737499996</v>
      </c>
      <c r="L9" s="773">
        <v>2186.7089737499996</v>
      </c>
      <c r="M9" s="773">
        <v>2186.7089737499996</v>
      </c>
      <c r="N9" s="773">
        <v>2186.7089737499996</v>
      </c>
      <c r="O9" s="773">
        <v>2186.7089737499996</v>
      </c>
      <c r="P9" s="773">
        <v>2186.7089737499996</v>
      </c>
      <c r="Q9" s="773">
        <v>2186.7089737499996</v>
      </c>
      <c r="R9" s="773">
        <v>2186.7089737499996</v>
      </c>
      <c r="S9" s="773">
        <v>2186.7089737499996</v>
      </c>
      <c r="T9" s="773">
        <v>2186.7089737499996</v>
      </c>
    </row>
    <row r="10" spans="1:22">
      <c r="A10" s="7" t="s">
        <v>17</v>
      </c>
      <c r="B10" s="773">
        <v>13.134030000000001</v>
      </c>
      <c r="C10" s="773">
        <v>13.134030000000001</v>
      </c>
      <c r="D10" s="773">
        <v>13.134030000000001</v>
      </c>
      <c r="E10" s="773">
        <v>13.134030000000001</v>
      </c>
      <c r="F10" s="773">
        <v>13.134030000000001</v>
      </c>
      <c r="G10" s="773">
        <v>13.134030000000001</v>
      </c>
      <c r="H10" s="773">
        <v>13.134030000000001</v>
      </c>
      <c r="I10" s="773">
        <v>13.134030000000001</v>
      </c>
      <c r="J10" s="773">
        <v>13.134030000000001</v>
      </c>
      <c r="K10" s="773">
        <v>13.134030000000001</v>
      </c>
      <c r="L10" s="773">
        <v>13.134030000000001</v>
      </c>
      <c r="M10" s="773">
        <v>13.134030000000001</v>
      </c>
      <c r="N10" s="773">
        <v>13.134030000000001</v>
      </c>
      <c r="O10" s="773">
        <v>13.134030000000001</v>
      </c>
      <c r="P10" s="773">
        <v>13.134030000000001</v>
      </c>
      <c r="Q10" s="773">
        <v>13.134030000000001</v>
      </c>
      <c r="R10" s="773">
        <v>13.134030000000001</v>
      </c>
      <c r="S10" s="773">
        <v>13.134030000000001</v>
      </c>
      <c r="T10" s="773">
        <v>13.134030000000001</v>
      </c>
    </row>
    <row r="11" spans="1:22">
      <c r="A11" s="7" t="s">
        <v>15</v>
      </c>
      <c r="B11" s="773">
        <v>7971.4265075735284</v>
      </c>
      <c r="C11" s="773">
        <v>8428.7965103095084</v>
      </c>
      <c r="D11" s="773">
        <v>8904.8462285037604</v>
      </c>
      <c r="E11" s="773">
        <v>7787.7426389004777</v>
      </c>
      <c r="F11" s="773">
        <v>8121.4302832233234</v>
      </c>
      <c r="G11" s="773">
        <v>8963.7156347965101</v>
      </c>
      <c r="H11" s="773">
        <v>9620.0529097623112</v>
      </c>
      <c r="I11" s="773">
        <v>10265.635197040012</v>
      </c>
      <c r="J11" s="773">
        <v>10682.249456957934</v>
      </c>
      <c r="K11" s="773">
        <v>11015.088023305401</v>
      </c>
      <c r="L11" s="773">
        <v>11403.68271003591</v>
      </c>
      <c r="M11" s="773">
        <v>12380.971459693912</v>
      </c>
      <c r="N11" s="773">
        <v>15103.115448749997</v>
      </c>
      <c r="O11" s="773">
        <v>17490.156663524282</v>
      </c>
      <c r="P11" s="773">
        <v>16367.958606068738</v>
      </c>
      <c r="Q11" s="773">
        <v>14338.662244919629</v>
      </c>
      <c r="R11" s="773">
        <v>15755.490359830708</v>
      </c>
      <c r="S11" s="773">
        <v>16705.181610124189</v>
      </c>
      <c r="T11" s="773">
        <v>17312.840283087178</v>
      </c>
    </row>
    <row r="12" spans="1:22">
      <c r="A12" s="7" t="s">
        <v>18</v>
      </c>
      <c r="B12" s="773">
        <v>20558.601630000005</v>
      </c>
      <c r="C12" s="773">
        <v>20558.601630000005</v>
      </c>
      <c r="D12" s="773">
        <v>20558.601630000005</v>
      </c>
      <c r="E12" s="773">
        <v>20558.601630000005</v>
      </c>
      <c r="F12" s="773">
        <v>20558.601630000005</v>
      </c>
      <c r="G12" s="773">
        <v>20558.601630000005</v>
      </c>
      <c r="H12" s="773">
        <v>20558.601630000005</v>
      </c>
      <c r="I12" s="773">
        <v>20558.601630000005</v>
      </c>
      <c r="J12" s="773">
        <v>20558.601630000005</v>
      </c>
      <c r="K12" s="773">
        <v>20558.601630000005</v>
      </c>
      <c r="L12" s="773">
        <v>20558.601630000005</v>
      </c>
      <c r="M12" s="773">
        <v>20558.601630000005</v>
      </c>
      <c r="N12" s="773">
        <v>20558.601630000005</v>
      </c>
      <c r="O12" s="773">
        <v>20558.601630000005</v>
      </c>
      <c r="P12" s="773">
        <v>20558.601630000005</v>
      </c>
      <c r="Q12" s="773">
        <v>20558.601630000005</v>
      </c>
      <c r="R12" s="773">
        <v>20558.601630000005</v>
      </c>
      <c r="S12" s="773">
        <v>20558.601630000005</v>
      </c>
      <c r="T12" s="773">
        <v>20558.601630000005</v>
      </c>
    </row>
    <row r="13" spans="1:22">
      <c r="A13" s="7" t="s">
        <v>19</v>
      </c>
      <c r="B13" s="773">
        <v>0</v>
      </c>
      <c r="C13" s="773">
        <v>0</v>
      </c>
      <c r="D13" s="773">
        <v>0</v>
      </c>
      <c r="E13" s="773">
        <v>0</v>
      </c>
      <c r="F13" s="773">
        <v>0</v>
      </c>
      <c r="G13" s="773">
        <v>0</v>
      </c>
      <c r="H13" s="773">
        <v>0</v>
      </c>
      <c r="I13" s="773">
        <v>0</v>
      </c>
      <c r="J13" s="773">
        <v>0</v>
      </c>
      <c r="K13" s="773">
        <v>0</v>
      </c>
      <c r="L13" s="773">
        <v>0</v>
      </c>
      <c r="M13" s="773">
        <v>0</v>
      </c>
      <c r="N13" s="773">
        <v>0</v>
      </c>
      <c r="O13" s="773">
        <v>0</v>
      </c>
      <c r="P13" s="773">
        <v>0</v>
      </c>
      <c r="Q13" s="773">
        <v>0</v>
      </c>
      <c r="R13" s="773">
        <v>0</v>
      </c>
      <c r="S13" s="773">
        <v>0</v>
      </c>
      <c r="T13" s="773">
        <v>0</v>
      </c>
    </row>
    <row r="14" spans="1:22">
      <c r="A14" s="7" t="s">
        <v>20</v>
      </c>
      <c r="B14" s="773">
        <v>157.77489000000006</v>
      </c>
      <c r="C14" s="773">
        <v>157.77489000000006</v>
      </c>
      <c r="D14" s="773">
        <v>157.77489000000006</v>
      </c>
      <c r="E14" s="773">
        <v>157.77489000000006</v>
      </c>
      <c r="F14" s="773">
        <v>157.77489000000006</v>
      </c>
      <c r="G14" s="773">
        <v>157.77489000000006</v>
      </c>
      <c r="H14" s="773">
        <v>157.77489000000006</v>
      </c>
      <c r="I14" s="773">
        <v>157.77489000000006</v>
      </c>
      <c r="J14" s="773">
        <v>157.77489000000006</v>
      </c>
      <c r="K14" s="773">
        <v>157.77489000000006</v>
      </c>
      <c r="L14" s="773">
        <v>157.77489000000006</v>
      </c>
      <c r="M14" s="773">
        <v>157.77489000000006</v>
      </c>
      <c r="N14" s="773">
        <v>157.77489000000006</v>
      </c>
      <c r="O14" s="773">
        <v>157.77489000000006</v>
      </c>
      <c r="P14" s="773">
        <v>157.77489000000006</v>
      </c>
      <c r="Q14" s="773">
        <v>157.77489000000006</v>
      </c>
      <c r="R14" s="773">
        <v>157.77489000000006</v>
      </c>
      <c r="S14" s="773">
        <v>157.77489000000006</v>
      </c>
      <c r="T14" s="773">
        <v>157.77489000000006</v>
      </c>
    </row>
    <row r="15" spans="1:22">
      <c r="A15" s="6" t="s">
        <v>23</v>
      </c>
      <c r="B15" s="773">
        <v>112643.84509441437</v>
      </c>
      <c r="C15" s="773">
        <v>99974.637976964732</v>
      </c>
      <c r="D15" s="773">
        <v>89386.079225282927</v>
      </c>
      <c r="E15" s="773">
        <v>80743.218083199448</v>
      </c>
      <c r="F15" s="773">
        <v>73757.11000425239</v>
      </c>
      <c r="G15" s="773">
        <v>68184.707781337682</v>
      </c>
      <c r="H15" s="773">
        <v>63822.435670254978</v>
      </c>
      <c r="I15" s="773">
        <v>65856.004523381445</v>
      </c>
      <c r="J15" s="773">
        <v>68905.404902877082</v>
      </c>
      <c r="K15" s="773">
        <v>72925.406001760755</v>
      </c>
      <c r="L15" s="773">
        <v>77885.593183926932</v>
      </c>
      <c r="M15" s="773">
        <v>83768.418919861957</v>
      </c>
      <c r="N15" s="773">
        <v>54386.598945058628</v>
      </c>
      <c r="O15" s="773">
        <v>64463.563310591948</v>
      </c>
      <c r="P15" s="773">
        <v>76407.627527815042</v>
      </c>
      <c r="Q15" s="773">
        <v>90564.735248975267</v>
      </c>
      <c r="R15" s="773">
        <v>45884.868798815558</v>
      </c>
      <c r="S15" s="773">
        <v>38712.131766345876</v>
      </c>
      <c r="T15" s="773">
        <v>32660.639228712585</v>
      </c>
    </row>
    <row r="16" spans="1:22">
      <c r="A16" s="7" t="s">
        <v>218</v>
      </c>
      <c r="B16" s="773">
        <v>112643.84509441437</v>
      </c>
      <c r="C16" s="773">
        <v>99974.637976964732</v>
      </c>
      <c r="D16" s="773">
        <v>89386.079225282927</v>
      </c>
      <c r="E16" s="773">
        <v>80743.218083199448</v>
      </c>
      <c r="F16" s="773">
        <v>73757.11000425239</v>
      </c>
      <c r="G16" s="773">
        <v>68184.707781337682</v>
      </c>
      <c r="H16" s="773">
        <v>63822.435670254978</v>
      </c>
      <c r="I16" s="773">
        <v>65856.004523381445</v>
      </c>
      <c r="J16" s="773">
        <v>68905.404902877082</v>
      </c>
      <c r="K16" s="773">
        <v>72925.406001760755</v>
      </c>
      <c r="L16" s="773">
        <v>77885.593183926932</v>
      </c>
      <c r="M16" s="773">
        <v>83768.418919861957</v>
      </c>
      <c r="N16" s="773">
        <v>54386.598945058628</v>
      </c>
      <c r="O16" s="773">
        <v>64463.563310591948</v>
      </c>
      <c r="P16" s="773">
        <v>76407.627527815042</v>
      </c>
      <c r="Q16" s="773">
        <v>90564.735248975267</v>
      </c>
      <c r="R16" s="773">
        <v>45884.868798815558</v>
      </c>
      <c r="S16" s="773">
        <v>38712.131766345876</v>
      </c>
      <c r="T16" s="773">
        <v>32660.639228712585</v>
      </c>
    </row>
    <row r="17" spans="1:22">
      <c r="A17" s="6" t="s">
        <v>29</v>
      </c>
      <c r="B17" s="773">
        <v>1944873.0978737529</v>
      </c>
      <c r="C17" s="773">
        <v>1934218.3492157608</v>
      </c>
      <c r="D17" s="773">
        <v>1925454.8275336886</v>
      </c>
      <c r="E17" s="773">
        <v>1917004.7761416358</v>
      </c>
      <c r="F17" s="773">
        <v>1913589.1367588381</v>
      </c>
      <c r="G17" s="773">
        <v>1909754.3876620873</v>
      </c>
      <c r="H17" s="773">
        <v>1869395.3769464155</v>
      </c>
      <c r="I17" s="773">
        <v>1872824.1807397259</v>
      </c>
      <c r="J17" s="773">
        <v>1877132.803409935</v>
      </c>
      <c r="K17" s="773">
        <v>1882471.7542201621</v>
      </c>
      <c r="L17" s="773">
        <v>1889002.571198303</v>
      </c>
      <c r="M17" s="773">
        <v>1907959.4654057838</v>
      </c>
      <c r="N17" s="773">
        <v>1918985.9108613015</v>
      </c>
      <c r="O17" s="773">
        <v>1922041.3099912521</v>
      </c>
      <c r="P17" s="773">
        <v>1923454.5697006627</v>
      </c>
      <c r="Q17" s="773">
        <v>1926173.7746103166</v>
      </c>
      <c r="R17" s="773">
        <v>1920545.1620764963</v>
      </c>
      <c r="S17" s="773">
        <v>1921766.2884308663</v>
      </c>
      <c r="T17" s="773">
        <v>1923714.9310629054</v>
      </c>
      <c r="V17" s="66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A21D-B2AD-4A9D-A8FC-6EEDA5D01592}">
  <sheetPr>
    <tabColor theme="4" tint="0.59999389629810485"/>
    <outlinePr summaryBelow="0" summaryRight="0"/>
  </sheetPr>
  <dimension ref="B1:X1000"/>
  <sheetViews>
    <sheetView topLeftCell="A74" workbookViewId="0">
      <selection activeCell="B95" sqref="B95"/>
    </sheetView>
  </sheetViews>
  <sheetFormatPr defaultColWidth="12.6640625" defaultRowHeight="15" customHeight="1"/>
  <cols>
    <col min="1" max="1" width="12.6640625" style="10" customWidth="1"/>
    <col min="2" max="2" width="64.44140625" style="10" customWidth="1"/>
    <col min="3" max="3" width="19.109375" style="10" customWidth="1"/>
    <col min="4" max="6" width="12.6640625" style="10" customWidth="1"/>
    <col min="7" max="16384" width="12.6640625" style="10"/>
  </cols>
  <sheetData>
    <row r="1" spans="2:22" ht="15.75" customHeight="1">
      <c r="B1" s="733" t="s">
        <v>418</v>
      </c>
      <c r="C1" s="688"/>
    </row>
    <row r="2" spans="2:22" ht="15.75" customHeight="1">
      <c r="B2" s="348"/>
      <c r="C2" s="306"/>
    </row>
    <row r="3" spans="2:22" ht="15.75" customHeight="1">
      <c r="B3" s="307" t="s">
        <v>238</v>
      </c>
      <c r="C3" s="308" t="s">
        <v>239</v>
      </c>
    </row>
    <row r="4" spans="2:22" ht="15.75" customHeight="1">
      <c r="B4" s="309" t="s">
        <v>240</v>
      </c>
      <c r="C4" s="310">
        <v>0.55000000000000004</v>
      </c>
    </row>
    <row r="5" spans="2:22" ht="15.75" customHeight="1">
      <c r="B5" s="309" t="s">
        <v>14</v>
      </c>
      <c r="C5" s="310">
        <v>3</v>
      </c>
    </row>
    <row r="6" spans="2:22" ht="15.75" customHeight="1">
      <c r="B6" s="309" t="s">
        <v>241</v>
      </c>
      <c r="C6" s="310">
        <v>2.5</v>
      </c>
    </row>
    <row r="7" spans="2:22" ht="15.75" customHeight="1">
      <c r="B7" s="309" t="s">
        <v>242</v>
      </c>
      <c r="C7" s="310">
        <v>9</v>
      </c>
    </row>
    <row r="8" spans="2:22" ht="15.75" customHeight="1">
      <c r="B8" s="309" t="s">
        <v>15</v>
      </c>
      <c r="C8" s="310">
        <v>1</v>
      </c>
    </row>
    <row r="9" spans="2:22" ht="15.75" customHeight="1">
      <c r="B9" s="309" t="s">
        <v>16</v>
      </c>
      <c r="C9" s="310">
        <v>2.2400000000000002</v>
      </c>
    </row>
    <row r="10" spans="2:22" ht="15.75" customHeight="1">
      <c r="B10" s="309" t="s">
        <v>17</v>
      </c>
      <c r="C10" s="310">
        <v>5</v>
      </c>
    </row>
    <row r="11" spans="2:22" ht="15.75" customHeight="1">
      <c r="B11" s="311" t="s">
        <v>18</v>
      </c>
      <c r="C11" s="312">
        <v>5.9</v>
      </c>
      <c r="D11" s="56" t="s">
        <v>419</v>
      </c>
    </row>
    <row r="12" spans="2:22" ht="15.75" customHeight="1">
      <c r="B12" s="309" t="s">
        <v>19</v>
      </c>
      <c r="C12" s="310">
        <v>6.12</v>
      </c>
    </row>
    <row r="13" spans="2:22" ht="15.75" customHeight="1">
      <c r="B13" s="309" t="s">
        <v>20</v>
      </c>
      <c r="C13" s="310">
        <v>3.1</v>
      </c>
    </row>
    <row r="14" spans="2:22" ht="15.75" customHeight="1">
      <c r="B14" s="313" t="s">
        <v>21</v>
      </c>
      <c r="C14" s="314">
        <v>2.5</v>
      </c>
    </row>
    <row r="15" spans="2:22" ht="15.75" customHeight="1"/>
    <row r="16" spans="2:22" ht="15.75" customHeight="1">
      <c r="B16" s="315" t="s">
        <v>244</v>
      </c>
      <c r="C16" s="316" t="s">
        <v>245</v>
      </c>
      <c r="D16" s="316">
        <v>2005</v>
      </c>
      <c r="E16" s="316">
        <v>2006</v>
      </c>
      <c r="F16" s="316">
        <v>2007</v>
      </c>
      <c r="G16" s="316">
        <v>2008</v>
      </c>
      <c r="H16" s="316">
        <v>2009</v>
      </c>
      <c r="I16" s="316">
        <v>2010</v>
      </c>
      <c r="J16" s="316">
        <v>2011</v>
      </c>
      <c r="K16" s="316">
        <v>2012</v>
      </c>
      <c r="L16" s="316">
        <v>2013</v>
      </c>
      <c r="M16" s="316">
        <v>2014</v>
      </c>
      <c r="N16" s="316">
        <v>2015</v>
      </c>
      <c r="O16" s="316">
        <v>2016</v>
      </c>
      <c r="P16" s="316">
        <v>2017</v>
      </c>
      <c r="Q16" s="316">
        <v>2018</v>
      </c>
      <c r="R16" s="317">
        <v>2019</v>
      </c>
      <c r="S16" s="317">
        <v>2020</v>
      </c>
      <c r="T16" s="317">
        <v>2021</v>
      </c>
      <c r="U16" s="367">
        <v>2022</v>
      </c>
      <c r="V16" s="367">
        <v>2023</v>
      </c>
    </row>
    <row r="17" spans="2:24" ht="15.75" customHeight="1">
      <c r="B17" s="319" t="s">
        <v>0</v>
      </c>
      <c r="C17" s="320"/>
      <c r="D17" s="27">
        <f>(1/4*'state_production_pulp and paper'!D7)+(3/4*'state_production_pulp and paper'!E7)</f>
        <v>205265</v>
      </c>
      <c r="E17" s="27">
        <f>(1/4*'state_production_pulp and paper'!E7)+(3/4*'state_production_pulp and paper'!F7)</f>
        <v>205265</v>
      </c>
      <c r="F17" s="27">
        <f>(1/4*'state_production_pulp and paper'!F7)+(3/4*'state_production_pulp and paper'!G7)</f>
        <v>205265</v>
      </c>
      <c r="G17" s="27">
        <f>(1/4*'state_production_pulp and paper'!G7)+(3/4*'state_production_pulp and paper'!H7)</f>
        <v>205265</v>
      </c>
      <c r="H17" s="27">
        <f>(1/4*'state_production_pulp and paper'!H7)+(3/4*'state_production_pulp and paper'!I7)</f>
        <v>205265</v>
      </c>
      <c r="I17" s="27">
        <f>(1/4*'state_production_pulp and paper'!I7)+(3/4*'state_production_pulp and paper'!J7)</f>
        <v>205265</v>
      </c>
      <c r="J17" s="27">
        <f>(1/4*'state_production_pulp and paper'!J7)+(3/4*'state_production_pulp and paper'!K7)</f>
        <v>205265</v>
      </c>
      <c r="K17" s="27">
        <f>(1/4*'state_production_pulp and paper'!K7)+(3/4*'state_production_pulp and paper'!L7)</f>
        <v>205265</v>
      </c>
      <c r="L17" s="27">
        <f>(1/4*'state_production_pulp and paper'!L7)+(3/4*'state_production_pulp and paper'!M7)</f>
        <v>205265</v>
      </c>
      <c r="M17" s="27">
        <f>(1/4*'state_production_pulp and paper'!M7)+(3/4*'state_production_pulp and paper'!N7)</f>
        <v>205265</v>
      </c>
      <c r="N17" s="27">
        <f>(1/4*'state_production_pulp and paper'!N7)+(3/4*'state_production_pulp and paper'!O7)</f>
        <v>205265</v>
      </c>
      <c r="O17" s="27">
        <f>(1/4*'state_production_pulp and paper'!O7)+(3/4*'state_production_pulp and paper'!P7)</f>
        <v>205265</v>
      </c>
      <c r="P17" s="27">
        <f>(1/4*'state_production_pulp and paper'!P7)+(3/4*'state_production_pulp and paper'!Q7)</f>
        <v>205265</v>
      </c>
      <c r="Q17" s="27">
        <f>(1/4*'state_production_pulp and paper'!Q7)+(3/4*'state_production_pulp and paper'!R7)</f>
        <v>205265</v>
      </c>
      <c r="R17" s="27">
        <f>(1/4*'state_production_pulp and paper'!R7)+(3/4*'state_production_pulp and paper'!S7)</f>
        <v>205265</v>
      </c>
      <c r="S17" s="27">
        <f>(1/4*'state_production_pulp and paper'!S7)+(3/4*'state_production_pulp and paper'!T7)</f>
        <v>205265</v>
      </c>
      <c r="T17" s="27">
        <f>(1/4*'state_production_pulp and paper'!T7)+(3/4*'state_production_pulp and paper'!U7)</f>
        <v>205265</v>
      </c>
      <c r="U17" s="27">
        <f>(1/4*'state_production_pulp and paper'!U7)+(3/4*'state_production_pulp and paper'!V7)</f>
        <v>205265</v>
      </c>
      <c r="V17" s="27">
        <f>(1/4*'state_production_pulp and paper'!V7)+(3/4*'state_production_pulp and paper'!W7)</f>
        <v>205265</v>
      </c>
      <c r="W17" s="27"/>
      <c r="X17" s="27"/>
    </row>
    <row r="18" spans="2:24" ht="15.75" customHeight="1">
      <c r="B18" s="371"/>
      <c r="C18" s="361"/>
      <c r="D18" s="29"/>
      <c r="E18" s="29"/>
      <c r="F18" s="29"/>
      <c r="G18" s="29"/>
      <c r="H18" s="29"/>
      <c r="I18" s="29"/>
      <c r="J18" s="29"/>
      <c r="K18" s="29"/>
      <c r="L18" s="29"/>
      <c r="M18" s="29"/>
      <c r="N18" s="29"/>
      <c r="O18" s="29"/>
      <c r="P18" s="29"/>
      <c r="Q18" s="29"/>
      <c r="R18" s="323"/>
      <c r="S18" s="323"/>
      <c r="T18" s="323"/>
    </row>
    <row r="19" spans="2:24" ht="15.75" customHeight="1">
      <c r="B19" s="319" t="s">
        <v>291</v>
      </c>
      <c r="C19" s="316" t="s">
        <v>420</v>
      </c>
      <c r="D19" s="316">
        <v>2005</v>
      </c>
      <c r="E19" s="316">
        <v>2006</v>
      </c>
      <c r="F19" s="316">
        <v>2007</v>
      </c>
      <c r="G19" s="316">
        <v>2008</v>
      </c>
      <c r="H19" s="316">
        <v>2009</v>
      </c>
      <c r="I19" s="316">
        <v>2010</v>
      </c>
      <c r="J19" s="316">
        <v>2011</v>
      </c>
      <c r="K19" s="316">
        <v>2012</v>
      </c>
      <c r="L19" s="316">
        <v>2013</v>
      </c>
      <c r="M19" s="316">
        <v>2014</v>
      </c>
      <c r="N19" s="316">
        <v>2015</v>
      </c>
      <c r="O19" s="316">
        <v>2016</v>
      </c>
      <c r="P19" s="316">
        <v>2017</v>
      </c>
      <c r="Q19" s="316">
        <v>2018</v>
      </c>
      <c r="R19" s="317">
        <v>2019</v>
      </c>
      <c r="S19" s="317">
        <v>2020</v>
      </c>
      <c r="T19" s="317">
        <v>2021</v>
      </c>
      <c r="U19" s="367">
        <v>2022</v>
      </c>
      <c r="V19" s="367">
        <v>2023</v>
      </c>
    </row>
    <row r="20" spans="2:24" ht="15.75" customHeight="1">
      <c r="B20" s="319" t="s">
        <v>0</v>
      </c>
      <c r="C20" s="320"/>
      <c r="D20" s="326">
        <f t="shared" ref="D20:V20" si="0">D17/365</f>
        <v>562.36986301369859</v>
      </c>
      <c r="E20" s="326">
        <f t="shared" si="0"/>
        <v>562.36986301369859</v>
      </c>
      <c r="F20" s="326">
        <f t="shared" si="0"/>
        <v>562.36986301369859</v>
      </c>
      <c r="G20" s="326">
        <f t="shared" si="0"/>
        <v>562.36986301369859</v>
      </c>
      <c r="H20" s="326">
        <f t="shared" si="0"/>
        <v>562.36986301369859</v>
      </c>
      <c r="I20" s="326">
        <f t="shared" si="0"/>
        <v>562.36986301369859</v>
      </c>
      <c r="J20" s="326">
        <f t="shared" si="0"/>
        <v>562.36986301369859</v>
      </c>
      <c r="K20" s="326">
        <f t="shared" si="0"/>
        <v>562.36986301369859</v>
      </c>
      <c r="L20" s="326">
        <f t="shared" si="0"/>
        <v>562.36986301369859</v>
      </c>
      <c r="M20" s="326">
        <f t="shared" si="0"/>
        <v>562.36986301369859</v>
      </c>
      <c r="N20" s="326">
        <f t="shared" si="0"/>
        <v>562.36986301369859</v>
      </c>
      <c r="O20" s="326">
        <f t="shared" si="0"/>
        <v>562.36986301369859</v>
      </c>
      <c r="P20" s="326">
        <f t="shared" si="0"/>
        <v>562.36986301369859</v>
      </c>
      <c r="Q20" s="326">
        <f t="shared" si="0"/>
        <v>562.36986301369859</v>
      </c>
      <c r="R20" s="326">
        <f t="shared" si="0"/>
        <v>562.36986301369859</v>
      </c>
      <c r="S20" s="326">
        <f t="shared" si="0"/>
        <v>562.36986301369859</v>
      </c>
      <c r="T20" s="326">
        <f t="shared" si="0"/>
        <v>562.36986301369859</v>
      </c>
      <c r="U20" s="326">
        <f t="shared" si="0"/>
        <v>562.36986301369859</v>
      </c>
      <c r="V20" s="326">
        <f t="shared" si="0"/>
        <v>562.36986301369859</v>
      </c>
    </row>
    <row r="21" spans="2:24" ht="15.75" customHeight="1">
      <c r="B21" s="354"/>
      <c r="C21" s="361"/>
      <c r="D21" s="361"/>
      <c r="E21" s="361"/>
      <c r="F21" s="361"/>
      <c r="G21" s="361"/>
      <c r="H21" s="361"/>
      <c r="I21" s="361"/>
      <c r="J21" s="361"/>
      <c r="K21" s="361"/>
      <c r="L21" s="361"/>
      <c r="M21" s="361"/>
      <c r="N21" s="361"/>
      <c r="O21" s="361"/>
      <c r="P21" s="361"/>
      <c r="Q21" s="361"/>
      <c r="R21" s="55"/>
      <c r="S21" s="55"/>
      <c r="T21" s="55"/>
    </row>
    <row r="22" spans="2:24" ht="15.75" customHeight="1">
      <c r="B22" s="319" t="s">
        <v>293</v>
      </c>
      <c r="C22" s="320" t="s">
        <v>248</v>
      </c>
      <c r="D22" s="320">
        <v>2.2730000000000001</v>
      </c>
      <c r="E22" s="320">
        <f>D22*10^6</f>
        <v>2273000</v>
      </c>
      <c r="F22" s="320" t="s">
        <v>421</v>
      </c>
      <c r="G22" s="361"/>
      <c r="H22" s="361"/>
      <c r="I22" s="361" t="s">
        <v>422</v>
      </c>
      <c r="J22" s="361">
        <v>120000</v>
      </c>
      <c r="K22" s="361">
        <f>J22/365</f>
        <v>328.76712328767121</v>
      </c>
      <c r="L22" s="361"/>
      <c r="M22" s="361"/>
      <c r="N22" s="361"/>
      <c r="O22" s="361"/>
      <c r="P22" s="361"/>
      <c r="Q22" s="361"/>
      <c r="R22" s="55"/>
      <c r="S22" s="55"/>
      <c r="T22" s="55"/>
    </row>
    <row r="23" spans="2:24" ht="15.75" customHeight="1">
      <c r="B23" s="354"/>
      <c r="C23" s="361"/>
      <c r="D23" s="361"/>
      <c r="E23" s="361"/>
      <c r="F23" s="361"/>
      <c r="G23" s="361"/>
      <c r="H23" s="361"/>
      <c r="I23" s="361"/>
      <c r="J23" s="361"/>
      <c r="K23" s="361"/>
      <c r="L23" s="361"/>
      <c r="M23" s="361"/>
      <c r="N23" s="361"/>
      <c r="O23" s="361"/>
      <c r="P23" s="361"/>
      <c r="Q23" s="361"/>
      <c r="R23" s="55"/>
      <c r="S23" s="55"/>
      <c r="T23" s="55"/>
    </row>
    <row r="24" spans="2:24" ht="15.75" customHeight="1">
      <c r="B24" s="319" t="s">
        <v>423</v>
      </c>
      <c r="C24" s="407">
        <f>(E22/S20)/1000</f>
        <v>4.0418239836309162</v>
      </c>
      <c r="D24" s="361"/>
      <c r="E24" s="361"/>
      <c r="F24" s="361"/>
      <c r="G24" s="361"/>
      <c r="H24" s="361"/>
      <c r="I24" s="361"/>
      <c r="J24" s="361"/>
      <c r="K24" s="361"/>
      <c r="L24" s="361"/>
      <c r="M24" s="361"/>
      <c r="N24" s="361"/>
      <c r="O24" s="361"/>
      <c r="P24" s="361"/>
      <c r="Q24" s="361"/>
      <c r="R24" s="55"/>
      <c r="S24" s="55"/>
      <c r="T24" s="55"/>
    </row>
    <row r="25" spans="2:24" ht="15.75" customHeight="1">
      <c r="B25" s="354"/>
      <c r="C25" s="361"/>
      <c r="D25" s="361"/>
      <c r="E25" s="361"/>
      <c r="F25" s="361"/>
      <c r="G25" s="361"/>
      <c r="H25" s="361"/>
      <c r="I25" s="361"/>
      <c r="J25" s="361"/>
      <c r="K25" s="361"/>
      <c r="L25" s="361"/>
      <c r="M25" s="361"/>
      <c r="N25" s="361"/>
      <c r="O25" s="361"/>
      <c r="P25" s="361"/>
      <c r="Q25" s="361"/>
      <c r="R25" s="55"/>
      <c r="S25" s="55"/>
      <c r="T25" s="55"/>
    </row>
    <row r="26" spans="2:24" ht="15.75" customHeight="1">
      <c r="B26" s="315" t="s">
        <v>251</v>
      </c>
      <c r="C26" s="316" t="s">
        <v>252</v>
      </c>
      <c r="D26" s="316">
        <v>2005</v>
      </c>
      <c r="E26" s="316">
        <v>2006</v>
      </c>
      <c r="F26" s="316">
        <v>2007</v>
      </c>
      <c r="G26" s="316">
        <v>2008</v>
      </c>
      <c r="H26" s="316">
        <v>2009</v>
      </c>
      <c r="I26" s="316">
        <v>2010</v>
      </c>
      <c r="J26" s="316">
        <v>2011</v>
      </c>
      <c r="K26" s="316">
        <v>2012</v>
      </c>
      <c r="L26" s="316">
        <v>2013</v>
      </c>
      <c r="M26" s="316">
        <v>2014</v>
      </c>
      <c r="N26" s="316">
        <v>2015</v>
      </c>
      <c r="O26" s="316">
        <v>2016</v>
      </c>
      <c r="P26" s="316">
        <v>2017</v>
      </c>
      <c r="Q26" s="316">
        <v>2018</v>
      </c>
      <c r="R26" s="317">
        <v>2019</v>
      </c>
      <c r="S26" s="317">
        <v>2020</v>
      </c>
      <c r="T26" s="317">
        <v>2021</v>
      </c>
      <c r="U26" s="367">
        <v>2022</v>
      </c>
      <c r="V26" s="367">
        <v>2023</v>
      </c>
    </row>
    <row r="27" spans="2:24" ht="15.75" customHeight="1">
      <c r="B27" s="319" t="s">
        <v>424</v>
      </c>
      <c r="C27" s="320" t="s">
        <v>253</v>
      </c>
      <c r="D27" s="325">
        <f t="shared" ref="D27:V27" si="1">$C$24</f>
        <v>4.0418239836309162</v>
      </c>
      <c r="E27" s="325">
        <f t="shared" si="1"/>
        <v>4.0418239836309162</v>
      </c>
      <c r="F27" s="325">
        <f t="shared" si="1"/>
        <v>4.0418239836309162</v>
      </c>
      <c r="G27" s="325">
        <f t="shared" si="1"/>
        <v>4.0418239836309162</v>
      </c>
      <c r="H27" s="325">
        <f t="shared" si="1"/>
        <v>4.0418239836309162</v>
      </c>
      <c r="I27" s="325">
        <f t="shared" si="1"/>
        <v>4.0418239836309162</v>
      </c>
      <c r="J27" s="325">
        <f t="shared" si="1"/>
        <v>4.0418239836309162</v>
      </c>
      <c r="K27" s="325">
        <f t="shared" si="1"/>
        <v>4.0418239836309162</v>
      </c>
      <c r="L27" s="325">
        <f t="shared" si="1"/>
        <v>4.0418239836309162</v>
      </c>
      <c r="M27" s="325">
        <f t="shared" si="1"/>
        <v>4.0418239836309162</v>
      </c>
      <c r="N27" s="325">
        <f t="shared" si="1"/>
        <v>4.0418239836309162</v>
      </c>
      <c r="O27" s="325">
        <f t="shared" si="1"/>
        <v>4.0418239836309162</v>
      </c>
      <c r="P27" s="325">
        <f t="shared" si="1"/>
        <v>4.0418239836309162</v>
      </c>
      <c r="Q27" s="325">
        <f t="shared" si="1"/>
        <v>4.0418239836309162</v>
      </c>
      <c r="R27" s="325">
        <f t="shared" si="1"/>
        <v>4.0418239836309162</v>
      </c>
      <c r="S27" s="325">
        <f t="shared" si="1"/>
        <v>4.0418239836309162</v>
      </c>
      <c r="T27" s="325">
        <f t="shared" si="1"/>
        <v>4.0418239836309162</v>
      </c>
      <c r="U27" s="325">
        <f t="shared" si="1"/>
        <v>4.0418239836309162</v>
      </c>
      <c r="V27" s="325">
        <f t="shared" si="1"/>
        <v>4.0418239836309162</v>
      </c>
    </row>
    <row r="28" spans="2:24" ht="15.75" customHeight="1"/>
    <row r="29" spans="2:24" ht="15.75" customHeight="1">
      <c r="B29" s="315" t="s">
        <v>254</v>
      </c>
      <c r="C29" s="316" t="s">
        <v>255</v>
      </c>
      <c r="D29" s="316">
        <v>2005</v>
      </c>
      <c r="E29" s="316">
        <v>2006</v>
      </c>
      <c r="F29" s="316">
        <v>2007</v>
      </c>
      <c r="G29" s="316">
        <v>2008</v>
      </c>
      <c r="H29" s="316">
        <v>2009</v>
      </c>
      <c r="I29" s="316">
        <v>2010</v>
      </c>
      <c r="J29" s="316">
        <v>2011</v>
      </c>
      <c r="K29" s="316">
        <v>2012</v>
      </c>
      <c r="L29" s="316">
        <v>2013</v>
      </c>
      <c r="M29" s="316">
        <v>2014</v>
      </c>
      <c r="N29" s="316">
        <v>2015</v>
      </c>
      <c r="O29" s="316">
        <v>2016</v>
      </c>
      <c r="P29" s="316">
        <v>2017</v>
      </c>
      <c r="Q29" s="316">
        <v>2018</v>
      </c>
      <c r="R29" s="317">
        <v>2019</v>
      </c>
      <c r="S29" s="317">
        <v>2020</v>
      </c>
      <c r="T29" s="317">
        <v>2021</v>
      </c>
      <c r="U29" s="367">
        <v>2022</v>
      </c>
      <c r="V29" s="367">
        <v>2023</v>
      </c>
    </row>
    <row r="30" spans="2:24" ht="15.75" customHeight="1">
      <c r="B30" s="319" t="s">
        <v>0</v>
      </c>
      <c r="C30" s="320"/>
      <c r="D30" s="326">
        <f t="shared" ref="D30:V30" si="2">D17*D27*$C$11</f>
        <v>4894905.5</v>
      </c>
      <c r="E30" s="326">
        <f t="shared" si="2"/>
        <v>4894905.5</v>
      </c>
      <c r="F30" s="326">
        <f t="shared" si="2"/>
        <v>4894905.5</v>
      </c>
      <c r="G30" s="326">
        <f t="shared" si="2"/>
        <v>4894905.5</v>
      </c>
      <c r="H30" s="326">
        <f t="shared" si="2"/>
        <v>4894905.5</v>
      </c>
      <c r="I30" s="326">
        <f t="shared" si="2"/>
        <v>4894905.5</v>
      </c>
      <c r="J30" s="326">
        <f t="shared" si="2"/>
        <v>4894905.5</v>
      </c>
      <c r="K30" s="326">
        <f t="shared" si="2"/>
        <v>4894905.5</v>
      </c>
      <c r="L30" s="326">
        <f t="shared" si="2"/>
        <v>4894905.5</v>
      </c>
      <c r="M30" s="326">
        <f t="shared" si="2"/>
        <v>4894905.5</v>
      </c>
      <c r="N30" s="408">
        <f t="shared" si="2"/>
        <v>4894905.5</v>
      </c>
      <c r="O30" s="408">
        <f t="shared" si="2"/>
        <v>4894905.5</v>
      </c>
      <c r="P30" s="326">
        <f t="shared" si="2"/>
        <v>4894905.5</v>
      </c>
      <c r="Q30" s="326">
        <f t="shared" si="2"/>
        <v>4894905.5</v>
      </c>
      <c r="R30" s="326">
        <f t="shared" si="2"/>
        <v>4894905.5</v>
      </c>
      <c r="S30" s="326">
        <f t="shared" si="2"/>
        <v>4894905.5</v>
      </c>
      <c r="T30" s="326">
        <f t="shared" si="2"/>
        <v>4894905.5</v>
      </c>
      <c r="U30" s="326">
        <f t="shared" si="2"/>
        <v>4894905.5</v>
      </c>
      <c r="V30" s="326">
        <f t="shared" si="2"/>
        <v>4894905.5</v>
      </c>
    </row>
    <row r="31" spans="2:24" ht="15.75" customHeight="1">
      <c r="B31" s="371"/>
      <c r="C31" s="361"/>
      <c r="D31" s="341"/>
      <c r="E31" s="341"/>
      <c r="F31" s="341"/>
      <c r="G31" s="341"/>
      <c r="H31" s="341"/>
      <c r="I31" s="341"/>
      <c r="J31" s="341"/>
      <c r="K31" s="341"/>
      <c r="L31" s="341"/>
      <c r="M31" s="341"/>
      <c r="N31" s="341"/>
      <c r="O31" s="341"/>
      <c r="P31" s="341"/>
      <c r="Q31" s="341"/>
    </row>
    <row r="32" spans="2:24" ht="15.75" customHeight="1">
      <c r="B32" s="307" t="s">
        <v>256</v>
      </c>
      <c r="C32" s="308" t="s">
        <v>257</v>
      </c>
    </row>
    <row r="33" spans="2:3" ht="15.75" customHeight="1">
      <c r="B33" s="328" t="s">
        <v>258</v>
      </c>
      <c r="C33" s="329">
        <v>0.1</v>
      </c>
    </row>
    <row r="34" spans="2:3" ht="15.75" customHeight="1">
      <c r="B34" s="328" t="s">
        <v>259</v>
      </c>
      <c r="C34" s="329">
        <v>0</v>
      </c>
    </row>
    <row r="35" spans="2:3" ht="15.75" customHeight="1">
      <c r="B35" s="328" t="s">
        <v>260</v>
      </c>
      <c r="C35" s="329">
        <v>0.3</v>
      </c>
    </row>
    <row r="36" spans="2:3" ht="15.75" customHeight="1">
      <c r="B36" s="328" t="s">
        <v>261</v>
      </c>
      <c r="C36" s="329">
        <v>0.8</v>
      </c>
    </row>
    <row r="37" spans="2:3" ht="15.75" customHeight="1">
      <c r="B37" s="328" t="s">
        <v>262</v>
      </c>
      <c r="C37" s="329">
        <v>0.8</v>
      </c>
    </row>
    <row r="38" spans="2:3" ht="15.75" customHeight="1">
      <c r="B38" s="328" t="s">
        <v>263</v>
      </c>
      <c r="C38" s="329">
        <v>0.2</v>
      </c>
    </row>
    <row r="39" spans="2:3" ht="15.75" customHeight="1">
      <c r="B39" s="330" t="s">
        <v>264</v>
      </c>
      <c r="C39" s="331">
        <v>0.8</v>
      </c>
    </row>
    <row r="40" spans="2:3" ht="15.75" customHeight="1"/>
    <row r="41" spans="2:3" ht="15.75" customHeight="1">
      <c r="B41" s="730" t="s">
        <v>265</v>
      </c>
      <c r="C41" s="667"/>
    </row>
    <row r="42" spans="2:3" ht="15.75" customHeight="1">
      <c r="B42" s="309" t="s">
        <v>240</v>
      </c>
      <c r="C42" s="310">
        <v>0</v>
      </c>
    </row>
    <row r="43" spans="2:3" ht="15.75" customHeight="1">
      <c r="B43" s="309" t="s">
        <v>14</v>
      </c>
      <c r="C43" s="310">
        <v>0.3</v>
      </c>
    </row>
    <row r="44" spans="2:3" ht="15.75" customHeight="1">
      <c r="B44" s="309" t="s">
        <v>241</v>
      </c>
      <c r="C44" s="310">
        <v>0.8</v>
      </c>
    </row>
    <row r="45" spans="2:3" ht="15.75" customHeight="1">
      <c r="B45" s="309" t="s">
        <v>242</v>
      </c>
      <c r="C45" s="310">
        <v>0.8</v>
      </c>
    </row>
    <row r="46" spans="2:3" ht="15.75" customHeight="1">
      <c r="B46" s="309" t="s">
        <v>15</v>
      </c>
      <c r="C46" s="310">
        <v>0.3</v>
      </c>
    </row>
    <row r="47" spans="2:3" ht="15.75" customHeight="1">
      <c r="B47" s="309" t="s">
        <v>16</v>
      </c>
      <c r="C47" s="310">
        <v>0.5</v>
      </c>
    </row>
    <row r="48" spans="2:3" ht="15.75" customHeight="1">
      <c r="B48" s="309" t="s">
        <v>17</v>
      </c>
      <c r="C48" s="310">
        <v>0.8</v>
      </c>
    </row>
    <row r="49" spans="2:3" ht="15.75" customHeight="1">
      <c r="B49" s="311" t="s">
        <v>18</v>
      </c>
      <c r="C49" s="312">
        <v>0.8</v>
      </c>
    </row>
    <row r="50" spans="2:3" ht="15.75" customHeight="1">
      <c r="B50" s="309" t="s">
        <v>19</v>
      </c>
      <c r="C50" s="310">
        <v>0</v>
      </c>
    </row>
    <row r="51" spans="2:3" ht="15.75" customHeight="1">
      <c r="B51" s="309" t="s">
        <v>20</v>
      </c>
      <c r="C51" s="310">
        <v>0.8</v>
      </c>
    </row>
    <row r="52" spans="2:3" ht="15.75" customHeight="1">
      <c r="B52" s="313" t="s">
        <v>21</v>
      </c>
      <c r="C52" s="314">
        <v>0.3</v>
      </c>
    </row>
    <row r="53" spans="2:3" ht="15.75" customHeight="1"/>
    <row r="54" spans="2:3" ht="15.75" customHeight="1">
      <c r="B54" s="307" t="s">
        <v>266</v>
      </c>
      <c r="C54" s="308" t="s">
        <v>267</v>
      </c>
    </row>
    <row r="55" spans="2:3" ht="15.75" customHeight="1">
      <c r="B55" s="313"/>
      <c r="C55" s="332">
        <v>0.25</v>
      </c>
    </row>
    <row r="56" spans="2:3" ht="15.75" customHeight="1">
      <c r="B56" s="348"/>
      <c r="C56" s="341"/>
    </row>
    <row r="57" spans="2:3" ht="15.75" customHeight="1">
      <c r="B57" s="348"/>
      <c r="C57" s="341"/>
    </row>
    <row r="58" spans="2:3" ht="15.75" customHeight="1">
      <c r="B58" s="333" t="s">
        <v>425</v>
      </c>
      <c r="C58" s="308" t="s">
        <v>75</v>
      </c>
    </row>
    <row r="59" spans="2:3" ht="15.75" customHeight="1">
      <c r="B59" s="309" t="s">
        <v>240</v>
      </c>
      <c r="C59" s="310">
        <f>C42*C55</f>
        <v>0</v>
      </c>
    </row>
    <row r="60" spans="2:3" ht="15.75" customHeight="1">
      <c r="B60" s="309" t="s">
        <v>14</v>
      </c>
      <c r="C60" s="335">
        <f t="shared" ref="C60:C69" si="3">C43*$C$55</f>
        <v>7.4999999999999997E-2</v>
      </c>
    </row>
    <row r="61" spans="2:3" ht="15.75" customHeight="1">
      <c r="B61" s="309" t="s">
        <v>241</v>
      </c>
      <c r="C61" s="310">
        <f t="shared" si="3"/>
        <v>0.2</v>
      </c>
    </row>
    <row r="62" spans="2:3" ht="15.75" customHeight="1">
      <c r="B62" s="309" t="s">
        <v>242</v>
      </c>
      <c r="C62" s="310">
        <f t="shared" si="3"/>
        <v>0.2</v>
      </c>
    </row>
    <row r="63" spans="2:3" ht="15.75" customHeight="1">
      <c r="B63" s="309" t="s">
        <v>15</v>
      </c>
      <c r="C63" s="335">
        <f t="shared" si="3"/>
        <v>7.4999999999999997E-2</v>
      </c>
    </row>
    <row r="64" spans="2:3" ht="15.75" customHeight="1">
      <c r="B64" s="309" t="s">
        <v>16</v>
      </c>
      <c r="C64" s="335">
        <f t="shared" si="3"/>
        <v>0.125</v>
      </c>
    </row>
    <row r="65" spans="2:22" ht="15.75" customHeight="1">
      <c r="B65" s="309" t="s">
        <v>17</v>
      </c>
      <c r="C65" s="310">
        <f t="shared" si="3"/>
        <v>0.2</v>
      </c>
    </row>
    <row r="66" spans="2:22" ht="15.75" customHeight="1">
      <c r="B66" s="311" t="s">
        <v>18</v>
      </c>
      <c r="C66" s="310">
        <f t="shared" si="3"/>
        <v>0.2</v>
      </c>
    </row>
    <row r="67" spans="2:22" ht="15.75" customHeight="1">
      <c r="B67" s="309" t="s">
        <v>19</v>
      </c>
      <c r="C67" s="310">
        <f t="shared" si="3"/>
        <v>0</v>
      </c>
    </row>
    <row r="68" spans="2:22" ht="15.75" customHeight="1">
      <c r="B68" s="309" t="s">
        <v>20</v>
      </c>
      <c r="C68" s="310">
        <f t="shared" si="3"/>
        <v>0.2</v>
      </c>
    </row>
    <row r="69" spans="2:22" ht="15.75" customHeight="1">
      <c r="B69" s="313" t="s">
        <v>243</v>
      </c>
      <c r="C69" s="335">
        <f t="shared" si="3"/>
        <v>7.4999999999999997E-2</v>
      </c>
    </row>
    <row r="70" spans="2:22" ht="15.75" customHeight="1"/>
    <row r="71" spans="2:22" ht="15.75" customHeight="1">
      <c r="B71" s="333" t="s">
        <v>269</v>
      </c>
      <c r="C71" s="308" t="s">
        <v>270</v>
      </c>
    </row>
    <row r="72" spans="2:22" ht="15.75" customHeight="1">
      <c r="B72" s="313"/>
      <c r="C72" s="332">
        <v>0.35</v>
      </c>
    </row>
    <row r="73" spans="2:22" ht="15.75" customHeight="1"/>
    <row r="74" spans="2:22" ht="15.75" customHeight="1">
      <c r="B74" s="336" t="s">
        <v>271</v>
      </c>
      <c r="C74" s="316" t="s">
        <v>272</v>
      </c>
      <c r="D74" s="316">
        <v>2005</v>
      </c>
      <c r="E74" s="316">
        <v>2006</v>
      </c>
      <c r="F74" s="316">
        <v>2007</v>
      </c>
      <c r="G74" s="316">
        <v>2008</v>
      </c>
      <c r="H74" s="316">
        <v>2009</v>
      </c>
      <c r="I74" s="316">
        <v>2010</v>
      </c>
      <c r="J74" s="316">
        <v>2011</v>
      </c>
      <c r="K74" s="316">
        <v>2012</v>
      </c>
      <c r="L74" s="316">
        <v>2013</v>
      </c>
      <c r="M74" s="316">
        <v>2014</v>
      </c>
      <c r="N74" s="316">
        <v>2015</v>
      </c>
      <c r="O74" s="316">
        <v>2016</v>
      </c>
      <c r="P74" s="316">
        <v>2017</v>
      </c>
      <c r="Q74" s="316">
        <v>2018</v>
      </c>
      <c r="R74" s="317">
        <v>2019</v>
      </c>
      <c r="S74" s="317">
        <v>2020</v>
      </c>
      <c r="T74" s="317">
        <v>2021</v>
      </c>
      <c r="U74" s="367">
        <v>2022</v>
      </c>
      <c r="V74" s="367">
        <v>2023</v>
      </c>
    </row>
    <row r="75" spans="2:22" ht="15.75" customHeight="1">
      <c r="B75" s="409" t="s">
        <v>0</v>
      </c>
      <c r="C75" s="410"/>
      <c r="D75" s="411">
        <f t="shared" ref="D75:V75" si="4">((D30-$C$72)*$C$66)/10^3</f>
        <v>978.98103000000015</v>
      </c>
      <c r="E75" s="411">
        <f t="shared" si="4"/>
        <v>978.98103000000015</v>
      </c>
      <c r="F75" s="411">
        <f t="shared" si="4"/>
        <v>978.98103000000015</v>
      </c>
      <c r="G75" s="411">
        <f t="shared" si="4"/>
        <v>978.98103000000015</v>
      </c>
      <c r="H75" s="411">
        <f t="shared" si="4"/>
        <v>978.98103000000015</v>
      </c>
      <c r="I75" s="411">
        <f t="shared" si="4"/>
        <v>978.98103000000015</v>
      </c>
      <c r="J75" s="411">
        <f t="shared" si="4"/>
        <v>978.98103000000015</v>
      </c>
      <c r="K75" s="411">
        <f t="shared" si="4"/>
        <v>978.98103000000015</v>
      </c>
      <c r="L75" s="411">
        <f t="shared" si="4"/>
        <v>978.98103000000015</v>
      </c>
      <c r="M75" s="411">
        <f t="shared" si="4"/>
        <v>978.98103000000015</v>
      </c>
      <c r="N75" s="412">
        <f t="shared" si="4"/>
        <v>978.98103000000015</v>
      </c>
      <c r="O75" s="412">
        <f t="shared" si="4"/>
        <v>978.98103000000015</v>
      </c>
      <c r="P75" s="412">
        <f t="shared" si="4"/>
        <v>978.98103000000015</v>
      </c>
      <c r="Q75" s="412">
        <f t="shared" si="4"/>
        <v>978.98103000000015</v>
      </c>
      <c r="R75" s="412">
        <f t="shared" si="4"/>
        <v>978.98103000000015</v>
      </c>
      <c r="S75" s="412">
        <f t="shared" si="4"/>
        <v>978.98103000000015</v>
      </c>
      <c r="T75" s="412">
        <f t="shared" si="4"/>
        <v>978.98103000000015</v>
      </c>
      <c r="U75" s="412">
        <f t="shared" si="4"/>
        <v>978.98103000000015</v>
      </c>
      <c r="V75" s="412">
        <f t="shared" si="4"/>
        <v>978.98103000000015</v>
      </c>
    </row>
    <row r="76" spans="2:22" ht="15.75" customHeight="1">
      <c r="B76" s="371"/>
      <c r="C76" s="361"/>
      <c r="D76" s="371"/>
      <c r="E76" s="371"/>
      <c r="F76" s="371"/>
      <c r="G76" s="371"/>
      <c r="H76" s="371"/>
      <c r="I76" s="371"/>
      <c r="J76" s="371"/>
      <c r="K76" s="371"/>
      <c r="L76" s="371"/>
      <c r="M76" s="371"/>
      <c r="N76" s="413"/>
      <c r="O76" s="413"/>
      <c r="P76" s="413"/>
      <c r="Q76" s="413"/>
      <c r="R76" s="414"/>
      <c r="S76" s="414"/>
      <c r="T76" s="414"/>
    </row>
    <row r="77" spans="2:22" ht="15.75" customHeight="1">
      <c r="B77" s="315" t="s">
        <v>273</v>
      </c>
      <c r="C77" s="316" t="s">
        <v>274</v>
      </c>
      <c r="D77" s="316">
        <v>2005</v>
      </c>
      <c r="E77" s="316">
        <v>2006</v>
      </c>
      <c r="F77" s="316">
        <v>2007</v>
      </c>
      <c r="G77" s="316">
        <v>2008</v>
      </c>
      <c r="H77" s="316">
        <v>2009</v>
      </c>
      <c r="I77" s="316">
        <v>2010</v>
      </c>
      <c r="J77" s="316">
        <v>2011</v>
      </c>
      <c r="K77" s="316">
        <v>2012</v>
      </c>
      <c r="L77" s="316">
        <v>2013</v>
      </c>
      <c r="M77" s="316">
        <v>2014</v>
      </c>
      <c r="N77" s="415">
        <v>2015</v>
      </c>
      <c r="O77" s="415">
        <v>2016</v>
      </c>
      <c r="P77" s="415">
        <v>2017</v>
      </c>
      <c r="Q77" s="415">
        <v>2018</v>
      </c>
      <c r="R77" s="416">
        <v>2019</v>
      </c>
      <c r="S77" s="416">
        <v>2020</v>
      </c>
      <c r="T77" s="416">
        <v>2021</v>
      </c>
      <c r="U77" s="367">
        <v>2022</v>
      </c>
      <c r="V77" s="367">
        <v>2023</v>
      </c>
    </row>
    <row r="78" spans="2:22" ht="15.75" customHeight="1">
      <c r="B78" s="319" t="s">
        <v>424</v>
      </c>
      <c r="C78" s="320" t="s">
        <v>253</v>
      </c>
      <c r="D78" s="320">
        <v>0</v>
      </c>
      <c r="E78" s="320">
        <v>0</v>
      </c>
      <c r="F78" s="320">
        <v>0</v>
      </c>
      <c r="G78" s="320">
        <v>0</v>
      </c>
      <c r="H78" s="320">
        <v>0</v>
      </c>
      <c r="I78" s="320">
        <v>0</v>
      </c>
      <c r="J78" s="320">
        <v>0</v>
      </c>
      <c r="K78" s="320">
        <v>0</v>
      </c>
      <c r="L78" s="320">
        <v>0</v>
      </c>
      <c r="M78" s="320">
        <v>0</v>
      </c>
      <c r="N78" s="417">
        <v>0</v>
      </c>
      <c r="O78" s="417">
        <v>0</v>
      </c>
      <c r="P78" s="417">
        <v>0</v>
      </c>
      <c r="Q78" s="417">
        <v>0</v>
      </c>
      <c r="R78" s="418">
        <v>0</v>
      </c>
      <c r="S78" s="418">
        <v>0</v>
      </c>
      <c r="T78" s="418">
        <v>0</v>
      </c>
      <c r="U78" s="418">
        <v>0</v>
      </c>
      <c r="V78" s="418">
        <v>0</v>
      </c>
    </row>
    <row r="79" spans="2:22" ht="15.75" customHeight="1">
      <c r="N79" s="414"/>
      <c r="O79" s="414"/>
      <c r="P79" s="414"/>
      <c r="Q79" s="414"/>
      <c r="R79" s="414"/>
      <c r="S79" s="414"/>
      <c r="T79" s="414"/>
    </row>
    <row r="80" spans="2:22" ht="15.75" customHeight="1">
      <c r="B80" s="307" t="s">
        <v>275</v>
      </c>
      <c r="C80" s="338" t="s">
        <v>272</v>
      </c>
      <c r="D80" s="338">
        <v>2005</v>
      </c>
      <c r="E80" s="338">
        <v>2006</v>
      </c>
      <c r="F80" s="338">
        <v>2007</v>
      </c>
      <c r="G80" s="338">
        <v>2008</v>
      </c>
      <c r="H80" s="338">
        <v>2009</v>
      </c>
      <c r="I80" s="338">
        <v>2010</v>
      </c>
      <c r="J80" s="338">
        <v>2011</v>
      </c>
      <c r="K80" s="338">
        <v>2012</v>
      </c>
      <c r="L80" s="338">
        <v>2013</v>
      </c>
      <c r="M80" s="338">
        <v>2014</v>
      </c>
      <c r="N80" s="419">
        <v>2015</v>
      </c>
      <c r="O80" s="419">
        <v>2016</v>
      </c>
      <c r="P80" s="419">
        <v>2017</v>
      </c>
      <c r="Q80" s="420">
        <v>2018</v>
      </c>
      <c r="R80" s="421">
        <v>2019</v>
      </c>
      <c r="S80" s="421">
        <v>2020</v>
      </c>
      <c r="T80" s="421">
        <v>2021</v>
      </c>
      <c r="U80" s="367">
        <v>2022</v>
      </c>
      <c r="V80" s="367">
        <v>2023</v>
      </c>
    </row>
    <row r="81" spans="2:22" ht="15.75" customHeight="1">
      <c r="B81" s="354" t="s">
        <v>0</v>
      </c>
      <c r="C81" s="361"/>
      <c r="D81" s="422">
        <f t="shared" ref="D81:V81" si="5">D75*(1-D78)</f>
        <v>978.98103000000015</v>
      </c>
      <c r="E81" s="422">
        <f t="shared" si="5"/>
        <v>978.98103000000015</v>
      </c>
      <c r="F81" s="422">
        <f t="shared" si="5"/>
        <v>978.98103000000015</v>
      </c>
      <c r="G81" s="422">
        <f t="shared" si="5"/>
        <v>978.98103000000015</v>
      </c>
      <c r="H81" s="422">
        <f t="shared" si="5"/>
        <v>978.98103000000015</v>
      </c>
      <c r="I81" s="422">
        <f t="shared" si="5"/>
        <v>978.98103000000015</v>
      </c>
      <c r="J81" s="422">
        <f t="shared" si="5"/>
        <v>978.98103000000015</v>
      </c>
      <c r="K81" s="422">
        <f t="shared" si="5"/>
        <v>978.98103000000015</v>
      </c>
      <c r="L81" s="422">
        <f t="shared" si="5"/>
        <v>978.98103000000015</v>
      </c>
      <c r="M81" s="422">
        <f t="shared" si="5"/>
        <v>978.98103000000015</v>
      </c>
      <c r="N81" s="422">
        <f t="shared" si="5"/>
        <v>978.98103000000015</v>
      </c>
      <c r="O81" s="422">
        <f t="shared" si="5"/>
        <v>978.98103000000015</v>
      </c>
      <c r="P81" s="422">
        <f t="shared" si="5"/>
        <v>978.98103000000015</v>
      </c>
      <c r="Q81" s="422">
        <f t="shared" si="5"/>
        <v>978.98103000000015</v>
      </c>
      <c r="R81" s="422">
        <f t="shared" si="5"/>
        <v>978.98103000000015</v>
      </c>
      <c r="S81" s="422">
        <f t="shared" si="5"/>
        <v>978.98103000000015</v>
      </c>
      <c r="T81" s="422">
        <f t="shared" si="5"/>
        <v>978.98103000000015</v>
      </c>
      <c r="U81" s="422">
        <f t="shared" si="5"/>
        <v>978.98103000000015</v>
      </c>
      <c r="V81" s="422">
        <f t="shared" si="5"/>
        <v>978.98103000000015</v>
      </c>
    </row>
    <row r="82" spans="2:22" ht="15.75" customHeight="1">
      <c r="B82" s="371"/>
      <c r="C82" s="361"/>
      <c r="D82" s="371"/>
      <c r="E82" s="371"/>
      <c r="F82" s="371"/>
      <c r="G82" s="371"/>
      <c r="H82" s="371"/>
      <c r="I82" s="371"/>
      <c r="J82" s="371"/>
      <c r="K82" s="371"/>
      <c r="L82" s="341"/>
      <c r="M82" s="341"/>
      <c r="N82" s="423"/>
      <c r="O82" s="423"/>
      <c r="P82" s="423"/>
      <c r="Q82" s="423"/>
      <c r="R82" s="414"/>
      <c r="S82" s="414"/>
      <c r="T82" s="414"/>
    </row>
    <row r="83" spans="2:22" ht="15.75" customHeight="1">
      <c r="B83" s="315" t="s">
        <v>426</v>
      </c>
      <c r="C83" s="316" t="s">
        <v>272</v>
      </c>
      <c r="D83" s="316">
        <v>2005</v>
      </c>
      <c r="E83" s="316">
        <v>2006</v>
      </c>
      <c r="F83" s="316">
        <v>2007</v>
      </c>
      <c r="G83" s="316">
        <v>2008</v>
      </c>
      <c r="H83" s="316">
        <v>2009</v>
      </c>
      <c r="I83" s="316">
        <v>2010</v>
      </c>
      <c r="J83" s="316">
        <v>2011</v>
      </c>
      <c r="K83" s="316">
        <v>2012</v>
      </c>
      <c r="L83" s="316">
        <v>2013</v>
      </c>
      <c r="M83" s="316">
        <v>2014</v>
      </c>
      <c r="N83" s="415">
        <v>2015</v>
      </c>
      <c r="O83" s="415">
        <v>2016</v>
      </c>
      <c r="P83" s="415">
        <v>2017</v>
      </c>
      <c r="Q83" s="415">
        <v>2018</v>
      </c>
      <c r="R83" s="416">
        <v>2019</v>
      </c>
      <c r="S83" s="416">
        <v>2020</v>
      </c>
      <c r="T83" s="416">
        <v>2021</v>
      </c>
      <c r="U83" s="367">
        <v>2022</v>
      </c>
      <c r="V83" s="367">
        <v>2023</v>
      </c>
    </row>
    <row r="84" spans="2:22" ht="15.75" customHeight="1">
      <c r="B84" s="319" t="s">
        <v>0</v>
      </c>
      <c r="C84" s="320"/>
      <c r="D84" s="325">
        <f t="shared" ref="D84:V84" si="6">D81*21</f>
        <v>20558.601630000005</v>
      </c>
      <c r="E84" s="325">
        <f t="shared" si="6"/>
        <v>20558.601630000005</v>
      </c>
      <c r="F84" s="325">
        <f t="shared" si="6"/>
        <v>20558.601630000005</v>
      </c>
      <c r="G84" s="325">
        <f t="shared" si="6"/>
        <v>20558.601630000005</v>
      </c>
      <c r="H84" s="325">
        <f t="shared" si="6"/>
        <v>20558.601630000005</v>
      </c>
      <c r="I84" s="325">
        <f t="shared" si="6"/>
        <v>20558.601630000005</v>
      </c>
      <c r="J84" s="325">
        <f t="shared" si="6"/>
        <v>20558.601630000005</v>
      </c>
      <c r="K84" s="325">
        <f t="shared" si="6"/>
        <v>20558.601630000005</v>
      </c>
      <c r="L84" s="325">
        <f t="shared" si="6"/>
        <v>20558.601630000005</v>
      </c>
      <c r="M84" s="325">
        <f t="shared" si="6"/>
        <v>20558.601630000005</v>
      </c>
      <c r="N84" s="424">
        <f t="shared" si="6"/>
        <v>20558.601630000005</v>
      </c>
      <c r="O84" s="424">
        <f t="shared" si="6"/>
        <v>20558.601630000005</v>
      </c>
      <c r="P84" s="424">
        <f t="shared" si="6"/>
        <v>20558.601630000005</v>
      </c>
      <c r="Q84" s="424">
        <f t="shared" si="6"/>
        <v>20558.601630000005</v>
      </c>
      <c r="R84" s="424">
        <f t="shared" si="6"/>
        <v>20558.601630000005</v>
      </c>
      <c r="S84" s="424">
        <f t="shared" si="6"/>
        <v>20558.601630000005</v>
      </c>
      <c r="T84" s="424">
        <f t="shared" si="6"/>
        <v>20558.601630000005</v>
      </c>
      <c r="U84" s="424">
        <f t="shared" si="6"/>
        <v>20558.601630000005</v>
      </c>
      <c r="V84" s="424">
        <f t="shared" si="6"/>
        <v>20558.601630000005</v>
      </c>
    </row>
    <row r="85" spans="2:22" ht="15.75" customHeight="1">
      <c r="B85" s="371"/>
      <c r="C85" s="361"/>
      <c r="D85" s="371"/>
      <c r="E85" s="371"/>
      <c r="F85" s="371"/>
      <c r="G85" s="371"/>
      <c r="H85" s="371"/>
      <c r="I85" s="371"/>
      <c r="J85" s="371"/>
      <c r="K85" s="371"/>
      <c r="L85" s="341"/>
      <c r="M85" s="341"/>
      <c r="N85" s="413"/>
      <c r="O85" s="413"/>
      <c r="P85" s="413"/>
      <c r="Q85" s="413"/>
      <c r="R85" s="414"/>
      <c r="S85" s="414"/>
      <c r="T85" s="414"/>
    </row>
    <row r="86" spans="2:22" ht="15.75" customHeight="1">
      <c r="B86" s="315" t="s">
        <v>427</v>
      </c>
      <c r="C86" s="316" t="s">
        <v>272</v>
      </c>
      <c r="D86" s="316">
        <v>2005</v>
      </c>
      <c r="E86" s="316">
        <v>2006</v>
      </c>
      <c r="F86" s="316">
        <v>2007</v>
      </c>
      <c r="G86" s="316">
        <v>2008</v>
      </c>
      <c r="H86" s="316">
        <v>2009</v>
      </c>
      <c r="I86" s="316">
        <v>2010</v>
      </c>
      <c r="J86" s="316">
        <v>2011</v>
      </c>
      <c r="K86" s="316">
        <v>2012</v>
      </c>
      <c r="L86" s="316">
        <v>2013</v>
      </c>
      <c r="M86" s="316">
        <v>2014</v>
      </c>
      <c r="N86" s="415">
        <v>2015</v>
      </c>
      <c r="O86" s="415">
        <v>2016</v>
      </c>
      <c r="P86" s="415">
        <v>2017</v>
      </c>
      <c r="Q86" s="415">
        <v>2018</v>
      </c>
      <c r="R86" s="416">
        <v>2019</v>
      </c>
      <c r="S86" s="416">
        <v>2020</v>
      </c>
      <c r="T86" s="416">
        <v>2021</v>
      </c>
      <c r="U86" s="367">
        <v>2022</v>
      </c>
      <c r="V86" s="367">
        <v>2023</v>
      </c>
    </row>
    <row r="87" spans="2:22" ht="15.75" customHeight="1">
      <c r="D87" s="56">
        <f t="shared" ref="D87:V87" si="7">D81*27.9</f>
        <v>27313.570737000002</v>
      </c>
      <c r="E87" s="56">
        <f t="shared" si="7"/>
        <v>27313.570737000002</v>
      </c>
      <c r="F87" s="56">
        <f t="shared" si="7"/>
        <v>27313.570737000002</v>
      </c>
      <c r="G87" s="56">
        <f t="shared" si="7"/>
        <v>27313.570737000002</v>
      </c>
      <c r="H87" s="56">
        <f t="shared" si="7"/>
        <v>27313.570737000002</v>
      </c>
      <c r="I87" s="56">
        <f t="shared" si="7"/>
        <v>27313.570737000002</v>
      </c>
      <c r="J87" s="56">
        <f t="shared" si="7"/>
        <v>27313.570737000002</v>
      </c>
      <c r="K87" s="56">
        <f t="shared" si="7"/>
        <v>27313.570737000002</v>
      </c>
      <c r="L87" s="56">
        <f t="shared" si="7"/>
        <v>27313.570737000002</v>
      </c>
      <c r="M87" s="56">
        <f t="shared" si="7"/>
        <v>27313.570737000002</v>
      </c>
      <c r="N87" s="414">
        <f t="shared" si="7"/>
        <v>27313.570737000002</v>
      </c>
      <c r="O87" s="414">
        <f t="shared" si="7"/>
        <v>27313.570737000002</v>
      </c>
      <c r="P87" s="414">
        <f t="shared" si="7"/>
        <v>27313.570737000002</v>
      </c>
      <c r="Q87" s="414">
        <f t="shared" si="7"/>
        <v>27313.570737000002</v>
      </c>
      <c r="R87" s="414">
        <f t="shared" si="7"/>
        <v>27313.570737000002</v>
      </c>
      <c r="S87" s="414">
        <f t="shared" si="7"/>
        <v>27313.570737000002</v>
      </c>
      <c r="T87" s="414">
        <f t="shared" si="7"/>
        <v>27313.570737000002</v>
      </c>
      <c r="U87" s="414">
        <f t="shared" si="7"/>
        <v>27313.570737000002</v>
      </c>
      <c r="V87" s="414">
        <f t="shared" si="7"/>
        <v>27313.570737000002</v>
      </c>
    </row>
    <row r="88" spans="2:22" ht="15.75" customHeight="1">
      <c r="B88" s="486"/>
      <c r="C88" s="486"/>
      <c r="D88" s="486"/>
      <c r="E88" s="486"/>
      <c r="F88" s="486"/>
      <c r="G88" s="486"/>
      <c r="H88" s="486"/>
      <c r="I88" s="486"/>
      <c r="J88" s="486"/>
      <c r="K88" s="486"/>
      <c r="L88" s="486"/>
      <c r="M88" s="486"/>
      <c r="N88" s="493"/>
      <c r="O88" s="493"/>
      <c r="P88" s="493"/>
      <c r="Q88" s="493"/>
      <c r="R88" s="493"/>
      <c r="S88" s="493"/>
      <c r="T88" s="493"/>
      <c r="U88" s="486"/>
      <c r="V88" s="486"/>
    </row>
    <row r="89" spans="2:22" ht="15.75" customHeight="1">
      <c r="N89" s="414"/>
      <c r="O89" s="414"/>
      <c r="P89" s="414"/>
      <c r="Q89" s="414"/>
      <c r="R89" s="414"/>
      <c r="S89" s="414"/>
      <c r="T89" s="414"/>
    </row>
    <row r="90" spans="2:22" ht="15.75" customHeight="1">
      <c r="B90" s="480" t="s">
        <v>428</v>
      </c>
      <c r="C90" s="480" t="s">
        <v>272</v>
      </c>
      <c r="D90" s="480">
        <v>2005</v>
      </c>
      <c r="E90" s="480">
        <v>2006</v>
      </c>
      <c r="F90" s="480">
        <v>2007</v>
      </c>
      <c r="G90" s="480">
        <v>2008</v>
      </c>
      <c r="H90" s="480">
        <v>2009</v>
      </c>
      <c r="I90" s="480">
        <v>2010</v>
      </c>
      <c r="J90" s="480">
        <v>2011</v>
      </c>
      <c r="K90" s="480">
        <v>2012</v>
      </c>
      <c r="L90" s="480">
        <v>2013</v>
      </c>
      <c r="M90" s="480">
        <v>2014</v>
      </c>
      <c r="N90" s="494">
        <v>2015</v>
      </c>
      <c r="O90" s="494">
        <v>2016</v>
      </c>
      <c r="P90" s="494">
        <v>2017</v>
      </c>
      <c r="Q90" s="494">
        <v>2018</v>
      </c>
      <c r="R90" s="495">
        <v>2019</v>
      </c>
      <c r="S90" s="495">
        <v>2020</v>
      </c>
      <c r="T90" s="495">
        <v>2021</v>
      </c>
      <c r="U90" s="484">
        <v>2022</v>
      </c>
      <c r="V90" s="484">
        <v>2023</v>
      </c>
    </row>
    <row r="91" spans="2:22" ht="15.75" customHeight="1">
      <c r="B91" s="486"/>
      <c r="C91" s="486"/>
      <c r="D91" s="491">
        <f t="shared" ref="D91:V91" si="8">D81*5.38</f>
        <v>5266.9179414000009</v>
      </c>
      <c r="E91" s="491">
        <f t="shared" si="8"/>
        <v>5266.9179414000009</v>
      </c>
      <c r="F91" s="491">
        <f t="shared" si="8"/>
        <v>5266.9179414000009</v>
      </c>
      <c r="G91" s="491">
        <f t="shared" si="8"/>
        <v>5266.9179414000009</v>
      </c>
      <c r="H91" s="491">
        <f t="shared" si="8"/>
        <v>5266.9179414000009</v>
      </c>
      <c r="I91" s="491">
        <f t="shared" si="8"/>
        <v>5266.9179414000009</v>
      </c>
      <c r="J91" s="491">
        <f t="shared" si="8"/>
        <v>5266.9179414000009</v>
      </c>
      <c r="K91" s="491">
        <f t="shared" si="8"/>
        <v>5266.9179414000009</v>
      </c>
      <c r="L91" s="491">
        <f t="shared" si="8"/>
        <v>5266.9179414000009</v>
      </c>
      <c r="M91" s="491">
        <f t="shared" si="8"/>
        <v>5266.9179414000009</v>
      </c>
      <c r="N91" s="493">
        <f t="shared" si="8"/>
        <v>5266.9179414000009</v>
      </c>
      <c r="O91" s="493">
        <f t="shared" si="8"/>
        <v>5266.9179414000009</v>
      </c>
      <c r="P91" s="493">
        <f t="shared" si="8"/>
        <v>5266.9179414000009</v>
      </c>
      <c r="Q91" s="493">
        <f t="shared" si="8"/>
        <v>5266.9179414000009</v>
      </c>
      <c r="R91" s="493">
        <f t="shared" si="8"/>
        <v>5266.9179414000009</v>
      </c>
      <c r="S91" s="493">
        <f t="shared" si="8"/>
        <v>5266.9179414000009</v>
      </c>
      <c r="T91" s="493">
        <f t="shared" si="8"/>
        <v>5266.9179414000009</v>
      </c>
      <c r="U91" s="493">
        <f t="shared" si="8"/>
        <v>5266.9179414000009</v>
      </c>
      <c r="V91" s="493">
        <f t="shared" si="8"/>
        <v>5266.9179414000009</v>
      </c>
    </row>
    <row r="92" spans="2:22" ht="15.75" customHeight="1">
      <c r="B92" s="529"/>
      <c r="C92" s="529"/>
      <c r="D92" s="529"/>
      <c r="E92" s="529"/>
      <c r="F92" s="529"/>
      <c r="G92" s="529"/>
      <c r="H92" s="529"/>
      <c r="I92" s="529"/>
      <c r="J92" s="529"/>
      <c r="K92" s="529"/>
      <c r="L92" s="529"/>
      <c r="M92" s="529"/>
      <c r="N92" s="529"/>
      <c r="O92" s="529"/>
      <c r="P92" s="529"/>
      <c r="Q92" s="529"/>
      <c r="R92" s="529"/>
      <c r="S92" s="529"/>
      <c r="T92" s="529"/>
      <c r="U92" s="529"/>
      <c r="V92" s="529"/>
    </row>
    <row r="93" spans="2:22" ht="15.75" customHeight="1">
      <c r="B93" s="510"/>
      <c r="C93" s="510"/>
      <c r="D93" s="510"/>
      <c r="E93" s="510"/>
      <c r="F93" s="510"/>
      <c r="G93" s="510"/>
      <c r="H93" s="510"/>
      <c r="I93" s="510"/>
      <c r="J93" s="510"/>
      <c r="K93" s="510"/>
      <c r="L93" s="510"/>
      <c r="M93" s="510"/>
      <c r="N93" s="510"/>
      <c r="O93" s="510"/>
      <c r="P93" s="510"/>
      <c r="Q93" s="510"/>
      <c r="R93" s="510"/>
      <c r="S93" s="510"/>
      <c r="T93" s="510"/>
      <c r="U93" s="510"/>
      <c r="V93" s="510"/>
    </row>
    <row r="94" spans="2:22" ht="15.75" customHeight="1">
      <c r="B94" s="354"/>
      <c r="C94" s="361"/>
      <c r="D94" s="361"/>
      <c r="E94" s="361"/>
      <c r="F94" s="361"/>
      <c r="G94" s="361"/>
      <c r="H94" s="361"/>
      <c r="I94" s="361"/>
      <c r="J94" s="361"/>
      <c r="K94" s="361"/>
      <c r="L94" s="361"/>
      <c r="M94" s="361"/>
      <c r="N94" s="530"/>
      <c r="O94" s="361"/>
      <c r="P94" s="361"/>
      <c r="Q94" s="361"/>
      <c r="R94" s="55"/>
      <c r="S94" s="55"/>
      <c r="T94" s="55"/>
    </row>
    <row r="95" spans="2:22" ht="15.75" customHeight="1">
      <c r="B95" s="510"/>
      <c r="C95" s="510"/>
      <c r="D95" s="510"/>
      <c r="E95" s="510"/>
      <c r="F95" s="510"/>
      <c r="G95" s="510"/>
      <c r="H95" s="510"/>
      <c r="I95" s="510"/>
      <c r="J95" s="510"/>
      <c r="K95" s="510"/>
      <c r="L95" s="510"/>
      <c r="M95" s="510"/>
      <c r="N95" s="510"/>
      <c r="O95" s="510"/>
      <c r="P95" s="510"/>
      <c r="Q95" s="510"/>
      <c r="R95" s="510"/>
      <c r="S95" s="510"/>
      <c r="T95" s="510"/>
      <c r="U95" s="510"/>
      <c r="V95" s="510"/>
    </row>
    <row r="96" spans="2:22" ht="15.75" customHeight="1">
      <c r="B96" s="510"/>
      <c r="C96" s="510"/>
      <c r="D96" s="510"/>
      <c r="E96" s="510"/>
      <c r="F96" s="510"/>
      <c r="G96" s="510"/>
      <c r="H96" s="510"/>
      <c r="I96" s="510"/>
      <c r="J96" s="510"/>
      <c r="K96" s="510"/>
      <c r="L96" s="510"/>
      <c r="M96" s="510"/>
      <c r="N96" s="510"/>
      <c r="O96" s="510"/>
      <c r="P96" s="510"/>
      <c r="Q96" s="510"/>
      <c r="R96" s="510"/>
      <c r="S96" s="510"/>
      <c r="T96" s="510"/>
      <c r="U96" s="510"/>
      <c r="V96" s="510"/>
    </row>
    <row r="97" spans="2:22" ht="15.75" customHeight="1">
      <c r="B97" s="510"/>
      <c r="C97" s="510"/>
      <c r="D97" s="510"/>
      <c r="E97" s="510"/>
      <c r="F97" s="510"/>
      <c r="G97" s="510"/>
      <c r="H97" s="510"/>
      <c r="I97" s="510"/>
      <c r="J97" s="510"/>
      <c r="K97" s="510"/>
      <c r="L97" s="510"/>
      <c r="M97" s="510"/>
      <c r="N97" s="510"/>
      <c r="O97" s="510"/>
      <c r="P97" s="510"/>
      <c r="Q97" s="510"/>
      <c r="R97" s="510"/>
      <c r="S97" s="510"/>
      <c r="T97" s="510"/>
      <c r="U97" s="510"/>
      <c r="V97" s="510"/>
    </row>
    <row r="98" spans="2:22" ht="15.75" customHeight="1">
      <c r="B98" s="510"/>
      <c r="C98" s="510"/>
      <c r="D98" s="510"/>
      <c r="E98" s="510"/>
      <c r="F98" s="510"/>
      <c r="G98" s="510"/>
      <c r="H98" s="510"/>
      <c r="I98" s="510"/>
      <c r="J98" s="510"/>
      <c r="K98" s="510"/>
      <c r="L98" s="510"/>
      <c r="M98" s="510"/>
      <c r="N98" s="510"/>
      <c r="O98" s="510"/>
      <c r="P98" s="510"/>
      <c r="Q98" s="510"/>
      <c r="R98" s="510"/>
      <c r="S98" s="510"/>
      <c r="T98" s="510"/>
      <c r="U98" s="510"/>
      <c r="V98" s="510"/>
    </row>
    <row r="99" spans="2:22" ht="15.75" customHeight="1"/>
    <row r="100" spans="2:22" ht="15.75" customHeight="1"/>
    <row r="101" spans="2:22" ht="15.75" customHeight="1"/>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B41:C4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072CC-9C33-428F-9BAC-966E3258C3B4}">
  <sheetPr>
    <tabColor theme="4" tint="0.59999389629810485"/>
    <outlinePr summaryBelow="0" summaryRight="0"/>
  </sheetPr>
  <dimension ref="B1:V999"/>
  <sheetViews>
    <sheetView topLeftCell="A82" workbookViewId="0">
      <selection activeCell="B92" sqref="B92:V97"/>
    </sheetView>
  </sheetViews>
  <sheetFormatPr defaultColWidth="12.6640625" defaultRowHeight="15" customHeight="1"/>
  <cols>
    <col min="1" max="1" width="12.6640625" style="10" customWidth="1"/>
    <col min="2" max="2" width="56.44140625" style="10" customWidth="1"/>
    <col min="3" max="6" width="12.6640625" style="10" customWidth="1"/>
    <col min="7" max="16384" width="12.6640625" style="10"/>
  </cols>
  <sheetData>
    <row r="1" spans="2:20" ht="15.75" customHeight="1">
      <c r="B1" s="306" t="s">
        <v>429</v>
      </c>
      <c r="C1" s="348"/>
    </row>
    <row r="2" spans="2:20" ht="15.75" customHeight="1">
      <c r="B2" s="348"/>
      <c r="C2" s="306"/>
    </row>
    <row r="3" spans="2:20" ht="15.75" customHeight="1">
      <c r="B3" s="307" t="s">
        <v>238</v>
      </c>
      <c r="C3" s="308" t="s">
        <v>239</v>
      </c>
    </row>
    <row r="4" spans="2:20" ht="15.75" customHeight="1">
      <c r="B4" s="309" t="s">
        <v>240</v>
      </c>
      <c r="C4" s="310">
        <v>0.55000000000000004</v>
      </c>
    </row>
    <row r="5" spans="2:20" ht="15.75" customHeight="1">
      <c r="B5" s="309" t="s">
        <v>14</v>
      </c>
      <c r="C5" s="310">
        <v>3</v>
      </c>
    </row>
    <row r="6" spans="2:20" ht="15.75" customHeight="1">
      <c r="B6" s="309" t="s">
        <v>241</v>
      </c>
      <c r="C6" s="310">
        <v>2.5</v>
      </c>
    </row>
    <row r="7" spans="2:20" ht="15.75" customHeight="1">
      <c r="B7" s="309" t="s">
        <v>242</v>
      </c>
      <c r="C7" s="310">
        <v>9</v>
      </c>
    </row>
    <row r="8" spans="2:20" ht="15.75" customHeight="1">
      <c r="B8" s="309" t="s">
        <v>15</v>
      </c>
      <c r="C8" s="310">
        <v>1</v>
      </c>
    </row>
    <row r="9" spans="2:20" ht="15.75" customHeight="1">
      <c r="B9" s="309" t="s">
        <v>16</v>
      </c>
      <c r="C9" s="310">
        <v>2.2400000000000002</v>
      </c>
    </row>
    <row r="10" spans="2:20" ht="15.75" customHeight="1">
      <c r="B10" s="309" t="s">
        <v>17</v>
      </c>
      <c r="C10" s="310">
        <v>5</v>
      </c>
    </row>
    <row r="11" spans="2:20" ht="15.75" customHeight="1">
      <c r="B11" s="309" t="s">
        <v>18</v>
      </c>
      <c r="C11" s="310">
        <v>5.9</v>
      </c>
    </row>
    <row r="12" spans="2:20" ht="15.75" customHeight="1">
      <c r="B12" s="311" t="s">
        <v>19</v>
      </c>
      <c r="C12" s="312">
        <v>6.12</v>
      </c>
    </row>
    <row r="13" spans="2:20" ht="15.75" customHeight="1">
      <c r="B13" s="309" t="s">
        <v>20</v>
      </c>
      <c r="C13" s="310">
        <v>3.1</v>
      </c>
    </row>
    <row r="14" spans="2:20" ht="15.75" customHeight="1">
      <c r="B14" s="313" t="s">
        <v>243</v>
      </c>
      <c r="C14" s="314">
        <v>2.5</v>
      </c>
    </row>
    <row r="15" spans="2:20" ht="15.75" customHeight="1"/>
    <row r="16" spans="2:20" ht="15.75" customHeight="1">
      <c r="B16" s="315" t="s">
        <v>244</v>
      </c>
      <c r="C16" s="316" t="s">
        <v>245</v>
      </c>
      <c r="D16" s="316">
        <v>2005</v>
      </c>
      <c r="E16" s="316">
        <v>2006</v>
      </c>
      <c r="F16" s="316">
        <v>2007</v>
      </c>
      <c r="G16" s="316">
        <v>2008</v>
      </c>
      <c r="H16" s="316">
        <v>2009</v>
      </c>
      <c r="I16" s="316">
        <v>2010</v>
      </c>
      <c r="J16" s="316">
        <v>2011</v>
      </c>
      <c r="K16" s="316">
        <v>2012</v>
      </c>
      <c r="L16" s="316">
        <v>2013</v>
      </c>
      <c r="M16" s="316">
        <v>2014</v>
      </c>
      <c r="N16" s="316">
        <v>2015</v>
      </c>
      <c r="O16" s="316">
        <v>2016</v>
      </c>
      <c r="P16" s="316">
        <v>2017</v>
      </c>
      <c r="Q16" s="316">
        <v>2018</v>
      </c>
      <c r="R16" s="317">
        <v>2019</v>
      </c>
      <c r="S16" s="317">
        <v>2020</v>
      </c>
      <c r="T16" s="317">
        <v>2021</v>
      </c>
    </row>
    <row r="17" spans="2:21" ht="15.75" customHeight="1">
      <c r="B17" s="321" t="s">
        <v>430</v>
      </c>
      <c r="C17" s="320"/>
      <c r="D17" s="351"/>
      <c r="E17" s="351"/>
      <c r="F17" s="351"/>
      <c r="G17" s="351"/>
      <c r="H17" s="351"/>
      <c r="I17" s="351"/>
      <c r="J17" s="351"/>
      <c r="K17" s="351"/>
      <c r="L17" s="351"/>
      <c r="M17" s="351"/>
      <c r="N17" s="351"/>
      <c r="O17" s="326"/>
      <c r="P17" s="326"/>
      <c r="Q17" s="326"/>
      <c r="R17" s="79"/>
      <c r="S17" s="79"/>
      <c r="T17" s="79"/>
    </row>
    <row r="18" spans="2:21" ht="15.75" customHeight="1">
      <c r="B18" s="352" t="s">
        <v>0</v>
      </c>
      <c r="C18" s="320"/>
      <c r="D18" s="327">
        <f>((State_production_rubber!C6*0.25)+(State_production_rubber!D6*0.75))</f>
        <v>161429.29618801654</v>
      </c>
      <c r="E18" s="327">
        <f>((State_production_rubber!D6*0.25)+(State_production_rubber!E6*0.75))</f>
        <v>161121.88647127434</v>
      </c>
      <c r="F18" s="327">
        <f>((State_production_rubber!E6*0.25)+(State_production_rubber!F6*0.75))</f>
        <v>156644.60297711141</v>
      </c>
      <c r="G18" s="327">
        <f>((State_production_rubber!F6*0.25)+(State_production_rubber!G6*0.75))</f>
        <v>155318.79245184356</v>
      </c>
      <c r="H18" s="327">
        <f>((State_production_rubber!G6*0.25)+(State_production_rubber!H6*0.75))</f>
        <v>155060.4156668951</v>
      </c>
      <c r="I18" s="327">
        <f>((State_production_rubber!H6*0.25)+(State_production_rubber!I6*0.75))</f>
        <v>157127.67958976782</v>
      </c>
      <c r="J18" s="327">
        <f>((State_production_rubber!I6*0.25)+(State_production_rubber!J6*0.75))</f>
        <v>171188.37608612317</v>
      </c>
      <c r="K18" s="327">
        <f>((State_production_rubber!J6*0.25)+(State_production_rubber!K6*0.75))</f>
        <v>171914.31762135337</v>
      </c>
      <c r="L18" s="327">
        <f>((State_production_rubber!K6*0.25)+(State_production_rubber!L6*0.75))</f>
        <v>154776.51587141532</v>
      </c>
      <c r="M18" s="327">
        <f>((State_production_rubber!L6*0.25)+(State_production_rubber!M6*0.75))</f>
        <v>147558.26486665223</v>
      </c>
      <c r="N18" s="327">
        <f>((State_production_rubber!M6*0.25)+(State_production_rubber!N6*0.75))</f>
        <v>143837.09387997625</v>
      </c>
      <c r="O18" s="327">
        <f>((State_production_rubber!N6*0.25)+(State_production_rubber!O6*0.75))</f>
        <v>150661.79181492311</v>
      </c>
      <c r="P18" s="327">
        <f>((State_production_rubber!O6*0.25)+(State_production_rubber!P6*0.75))</f>
        <v>167756.48778635653</v>
      </c>
      <c r="Q18" s="327">
        <f>((State_production_rubber!P6*0.25)+(State_production_rubber!Q6*0.75))</f>
        <v>162658.42129124512</v>
      </c>
      <c r="R18" s="327">
        <f>((State_production_rubber!Q6*0.25)+(State_production_rubber!R6*0.75))</f>
        <v>171917.66888847604</v>
      </c>
      <c r="S18" s="327">
        <f>((State_production_rubber!R6*0.25)+(State_production_rubber!S6*0.75))</f>
        <v>182662.79206448398</v>
      </c>
      <c r="T18" s="327">
        <f>((State_production_rubber!S6*0.25)+(State_production_rubber!T6*0.75))</f>
        <v>198961.46659044028</v>
      </c>
    </row>
    <row r="19" spans="2:21" ht="15.75" customHeight="1">
      <c r="B19" s="371"/>
      <c r="C19" s="361"/>
      <c r="D19" s="386"/>
      <c r="E19" s="386"/>
      <c r="F19" s="386"/>
      <c r="G19" s="386"/>
      <c r="H19" s="386"/>
      <c r="I19" s="386"/>
      <c r="J19" s="386"/>
      <c r="K19" s="386"/>
      <c r="L19" s="386"/>
      <c r="M19" s="386"/>
      <c r="N19" s="386"/>
      <c r="O19" s="386"/>
      <c r="P19" s="386"/>
      <c r="Q19" s="386"/>
    </row>
    <row r="20" spans="2:21" ht="15.75" customHeight="1">
      <c r="B20" s="315" t="s">
        <v>431</v>
      </c>
      <c r="C20" s="316" t="s">
        <v>252</v>
      </c>
      <c r="D20" s="316">
        <v>2005</v>
      </c>
      <c r="E20" s="316">
        <v>2006</v>
      </c>
      <c r="F20" s="316">
        <v>2007</v>
      </c>
      <c r="G20" s="316">
        <v>2008</v>
      </c>
      <c r="H20" s="316">
        <v>2009</v>
      </c>
      <c r="I20" s="316">
        <v>2010</v>
      </c>
      <c r="J20" s="316">
        <v>2011</v>
      </c>
      <c r="K20" s="316">
        <v>2012</v>
      </c>
      <c r="L20" s="316">
        <v>2013</v>
      </c>
      <c r="M20" s="316">
        <v>2014</v>
      </c>
      <c r="N20" s="316">
        <v>2015</v>
      </c>
      <c r="O20" s="316">
        <v>2016</v>
      </c>
      <c r="P20" s="316">
        <v>2017</v>
      </c>
      <c r="Q20" s="316">
        <v>2018</v>
      </c>
      <c r="R20" s="317">
        <v>2019</v>
      </c>
      <c r="S20" s="317">
        <v>2020</v>
      </c>
      <c r="T20" s="317">
        <v>2021</v>
      </c>
    </row>
    <row r="21" spans="2:21" ht="15.75" customHeight="1">
      <c r="B21" s="319" t="s">
        <v>432</v>
      </c>
      <c r="C21" s="320" t="s">
        <v>253</v>
      </c>
      <c r="D21" s="326">
        <v>26.3</v>
      </c>
      <c r="E21" s="326">
        <v>26.3</v>
      </c>
      <c r="F21" s="326">
        <v>26.3</v>
      </c>
      <c r="G21" s="326">
        <v>26.3</v>
      </c>
      <c r="H21" s="326">
        <v>26.3</v>
      </c>
      <c r="I21" s="326">
        <v>26.3</v>
      </c>
      <c r="J21" s="326">
        <v>26.3</v>
      </c>
      <c r="K21" s="326">
        <v>26.3</v>
      </c>
      <c r="L21" s="326">
        <v>26.3</v>
      </c>
      <c r="M21" s="326">
        <v>26.3</v>
      </c>
      <c r="N21" s="326">
        <v>26.3</v>
      </c>
      <c r="O21" s="326">
        <v>26.3</v>
      </c>
      <c r="P21" s="326">
        <v>26.3</v>
      </c>
      <c r="Q21" s="326">
        <v>26.3</v>
      </c>
      <c r="R21" s="79">
        <v>26.3</v>
      </c>
      <c r="S21" s="79">
        <v>26.3</v>
      </c>
      <c r="T21" s="79">
        <v>26.3</v>
      </c>
    </row>
    <row r="22" spans="2:21" ht="15.75" customHeight="1"/>
    <row r="23" spans="2:21" ht="15.75" customHeight="1">
      <c r="B23" s="315" t="s">
        <v>254</v>
      </c>
      <c r="C23" s="316" t="s">
        <v>255</v>
      </c>
      <c r="D23" s="316">
        <v>2005</v>
      </c>
      <c r="E23" s="316">
        <v>2006</v>
      </c>
      <c r="F23" s="316">
        <v>2007</v>
      </c>
      <c r="G23" s="316">
        <v>2008</v>
      </c>
      <c r="H23" s="316">
        <v>2009</v>
      </c>
      <c r="I23" s="316">
        <v>2010</v>
      </c>
      <c r="J23" s="316">
        <v>2011</v>
      </c>
      <c r="K23" s="316">
        <v>2012</v>
      </c>
      <c r="L23" s="316">
        <v>2013</v>
      </c>
      <c r="M23" s="316">
        <v>2014</v>
      </c>
      <c r="N23" s="316">
        <v>2015</v>
      </c>
      <c r="O23" s="316">
        <v>2016</v>
      </c>
      <c r="P23" s="316">
        <v>2017</v>
      </c>
      <c r="Q23" s="316">
        <v>2018</v>
      </c>
      <c r="R23" s="317">
        <v>2019</v>
      </c>
      <c r="S23" s="317">
        <v>2020</v>
      </c>
      <c r="T23" s="317">
        <v>2021</v>
      </c>
    </row>
    <row r="24" spans="2:21" ht="15.75" customHeight="1">
      <c r="B24" s="321" t="s">
        <v>430</v>
      </c>
      <c r="C24" s="326"/>
      <c r="D24" s="351"/>
      <c r="E24" s="351"/>
      <c r="F24" s="351"/>
      <c r="G24" s="351"/>
      <c r="H24" s="351"/>
      <c r="I24" s="351"/>
      <c r="J24" s="351"/>
      <c r="K24" s="351"/>
      <c r="L24" s="351"/>
      <c r="M24" s="351"/>
      <c r="N24" s="351"/>
      <c r="O24" s="326"/>
      <c r="P24" s="326"/>
      <c r="Q24" s="326"/>
      <c r="R24" s="79"/>
      <c r="S24" s="79"/>
      <c r="T24" s="79"/>
    </row>
    <row r="25" spans="2:21" ht="15.75" customHeight="1">
      <c r="B25" s="352" t="s">
        <v>0</v>
      </c>
      <c r="C25" s="320"/>
      <c r="D25" s="327">
        <f t="shared" ref="D25:T25" si="0">D18*D21*$C$12</f>
        <v>25983013.797238395</v>
      </c>
      <c r="E25" s="327">
        <f t="shared" si="0"/>
        <v>25933534.358870432</v>
      </c>
      <c r="F25" s="327">
        <f t="shared" si="0"/>
        <v>25212888.716783948</v>
      </c>
      <c r="G25" s="327">
        <f t="shared" si="0"/>
        <v>24999491.557878934</v>
      </c>
      <c r="H25" s="327">
        <f t="shared" si="0"/>
        <v>24957904.26408077</v>
      </c>
      <c r="I25" s="327">
        <f t="shared" si="0"/>
        <v>25290642.796050671</v>
      </c>
      <c r="J25" s="327">
        <f t="shared" si="0"/>
        <v>27553796.261318039</v>
      </c>
      <c r="K25" s="327">
        <f t="shared" si="0"/>
        <v>27670640.907062553</v>
      </c>
      <c r="L25" s="327">
        <f t="shared" si="0"/>
        <v>24912208.888599526</v>
      </c>
      <c r="M25" s="327">
        <f t="shared" si="0"/>
        <v>23750388.079876877</v>
      </c>
      <c r="N25" s="327">
        <f t="shared" si="0"/>
        <v>23151443.282545459</v>
      </c>
      <c r="O25" s="327">
        <f t="shared" si="0"/>
        <v>24249919.363362767</v>
      </c>
      <c r="P25" s="327">
        <f t="shared" si="0"/>
        <v>27001413.248140804</v>
      </c>
      <c r="Q25" s="327">
        <f t="shared" si="0"/>
        <v>26180848.85735365</v>
      </c>
      <c r="R25" s="327">
        <f t="shared" si="0"/>
        <v>27671180.313613549</v>
      </c>
      <c r="S25" s="327">
        <f t="shared" si="0"/>
        <v>29400672.359531082</v>
      </c>
      <c r="T25" s="327">
        <f t="shared" si="0"/>
        <v>32024041.816530906</v>
      </c>
      <c r="U25" s="342"/>
    </row>
    <row r="26" spans="2:21" ht="15.75" customHeight="1">
      <c r="B26" s="371"/>
      <c r="C26" s="361"/>
      <c r="D26" s="341"/>
      <c r="E26" s="341"/>
      <c r="F26" s="341"/>
      <c r="G26" s="341"/>
      <c r="H26" s="341"/>
      <c r="I26" s="341"/>
      <c r="J26" s="341"/>
      <c r="K26" s="341"/>
      <c r="L26" s="341"/>
      <c r="M26" s="341"/>
      <c r="N26" s="341"/>
      <c r="O26" s="341"/>
      <c r="P26" s="341"/>
      <c r="Q26" s="341"/>
    </row>
    <row r="27" spans="2:21" ht="15.75" customHeight="1">
      <c r="B27" s="307" t="s">
        <v>256</v>
      </c>
      <c r="C27" s="425" t="s">
        <v>257</v>
      </c>
    </row>
    <row r="28" spans="2:21" ht="15.75" customHeight="1">
      <c r="B28" s="328" t="s">
        <v>258</v>
      </c>
      <c r="C28" s="329">
        <v>0.1</v>
      </c>
    </row>
    <row r="29" spans="2:21" ht="15.75" customHeight="1">
      <c r="B29" s="328" t="s">
        <v>259</v>
      </c>
      <c r="C29" s="329">
        <v>0</v>
      </c>
    </row>
    <row r="30" spans="2:21" ht="15.75" customHeight="1">
      <c r="B30" s="328" t="s">
        <v>260</v>
      </c>
      <c r="C30" s="329">
        <v>0.3</v>
      </c>
    </row>
    <row r="31" spans="2:21" ht="15.75" customHeight="1">
      <c r="B31" s="328" t="s">
        <v>261</v>
      </c>
      <c r="C31" s="329">
        <v>0.8</v>
      </c>
    </row>
    <row r="32" spans="2:21" ht="15.75" customHeight="1">
      <c r="B32" s="328" t="s">
        <v>262</v>
      </c>
      <c r="C32" s="329">
        <v>0.8</v>
      </c>
    </row>
    <row r="33" spans="2:3" ht="15.75" customHeight="1">
      <c r="B33" s="328" t="s">
        <v>263</v>
      </c>
      <c r="C33" s="329">
        <v>0.2</v>
      </c>
    </row>
    <row r="34" spans="2:3" ht="15.75" customHeight="1">
      <c r="B34" s="330" t="s">
        <v>264</v>
      </c>
      <c r="C34" s="331">
        <v>0.8</v>
      </c>
    </row>
    <row r="35" spans="2:3" ht="15.75" customHeight="1">
      <c r="B35" s="353"/>
      <c r="C35" s="341"/>
    </row>
    <row r="36" spans="2:3" ht="15.75" customHeight="1">
      <c r="B36" s="353"/>
      <c r="C36" s="341"/>
    </row>
    <row r="37" spans="2:3" ht="15.75" customHeight="1">
      <c r="B37" s="730" t="s">
        <v>265</v>
      </c>
      <c r="C37" s="667"/>
    </row>
    <row r="38" spans="2:3" ht="15.75" customHeight="1">
      <c r="B38" s="309" t="s">
        <v>240</v>
      </c>
      <c r="C38" s="310">
        <f>C29</f>
        <v>0</v>
      </c>
    </row>
    <row r="39" spans="2:3" ht="15.75" customHeight="1">
      <c r="B39" s="309" t="s">
        <v>14</v>
      </c>
      <c r="C39" s="310">
        <f>C30</f>
        <v>0.3</v>
      </c>
    </row>
    <row r="40" spans="2:3" ht="15.75" customHeight="1">
      <c r="B40" s="309" t="s">
        <v>241</v>
      </c>
      <c r="C40" s="310">
        <f>C34+C29</f>
        <v>0.8</v>
      </c>
    </row>
    <row r="41" spans="2:3" ht="15.75" customHeight="1">
      <c r="B41" s="309" t="s">
        <v>242</v>
      </c>
      <c r="C41" s="310">
        <f>C34+C29</f>
        <v>0.8</v>
      </c>
    </row>
    <row r="42" spans="2:3" ht="15.75" customHeight="1">
      <c r="B42" s="309" t="s">
        <v>15</v>
      </c>
      <c r="C42" s="310">
        <f>C30</f>
        <v>0.3</v>
      </c>
    </row>
    <row r="43" spans="2:3" ht="15.75" customHeight="1">
      <c r="B43" s="309" t="s">
        <v>16</v>
      </c>
      <c r="C43" s="310">
        <f>C33+C30</f>
        <v>0.5</v>
      </c>
    </row>
    <row r="44" spans="2:3" ht="15.75" customHeight="1">
      <c r="B44" s="309" t="s">
        <v>17</v>
      </c>
      <c r="C44" s="329">
        <f>C34+C29</f>
        <v>0.8</v>
      </c>
    </row>
    <row r="45" spans="2:3" ht="15.75" customHeight="1">
      <c r="B45" s="309" t="s">
        <v>18</v>
      </c>
      <c r="C45" s="310">
        <f>C34+C29</f>
        <v>0.8</v>
      </c>
    </row>
    <row r="46" spans="2:3" ht="15.75" customHeight="1">
      <c r="B46" s="311" t="s">
        <v>19</v>
      </c>
      <c r="C46" s="312">
        <f>C29</f>
        <v>0</v>
      </c>
    </row>
    <row r="47" spans="2:3" ht="15.75" customHeight="1">
      <c r="B47" s="309" t="s">
        <v>20</v>
      </c>
      <c r="C47" s="310">
        <f>C34+C29</f>
        <v>0.8</v>
      </c>
    </row>
    <row r="48" spans="2:3" ht="15.75" customHeight="1">
      <c r="B48" s="313" t="s">
        <v>21</v>
      </c>
      <c r="C48" s="314">
        <f>C30</f>
        <v>0.3</v>
      </c>
    </row>
    <row r="49" spans="2:3" ht="15.75" customHeight="1">
      <c r="B49" s="348"/>
      <c r="C49" s="348"/>
    </row>
    <row r="50" spans="2:3" ht="15.75" customHeight="1">
      <c r="B50" s="348"/>
      <c r="C50" s="348"/>
    </row>
    <row r="51" spans="2:3" ht="15.75" customHeight="1">
      <c r="B51" s="307" t="s">
        <v>266</v>
      </c>
      <c r="C51" s="308" t="s">
        <v>267</v>
      </c>
    </row>
    <row r="52" spans="2:3" ht="15.75" customHeight="1">
      <c r="B52" s="313"/>
      <c r="C52" s="332">
        <v>0.25</v>
      </c>
    </row>
    <row r="53" spans="2:3" ht="15.75" customHeight="1">
      <c r="B53" s="348"/>
      <c r="C53" s="348"/>
    </row>
    <row r="54" spans="2:3" ht="15.75" customHeight="1">
      <c r="B54" s="348"/>
      <c r="C54" s="348"/>
    </row>
    <row r="55" spans="2:3" ht="15.75" customHeight="1">
      <c r="B55" s="333" t="s">
        <v>268</v>
      </c>
      <c r="C55" s="334" t="s">
        <v>75</v>
      </c>
    </row>
    <row r="56" spans="2:3" ht="15.75" customHeight="1">
      <c r="B56" s="309" t="s">
        <v>240</v>
      </c>
      <c r="C56" s="310">
        <f t="shared" ref="C56:C66" si="1">C38*$C$52</f>
        <v>0</v>
      </c>
    </row>
    <row r="57" spans="2:3" ht="15.75" customHeight="1">
      <c r="B57" s="309" t="s">
        <v>14</v>
      </c>
      <c r="C57" s="335">
        <f t="shared" si="1"/>
        <v>7.4999999999999997E-2</v>
      </c>
    </row>
    <row r="58" spans="2:3" ht="15.75" customHeight="1">
      <c r="B58" s="309" t="s">
        <v>241</v>
      </c>
      <c r="C58" s="310">
        <f t="shared" si="1"/>
        <v>0.2</v>
      </c>
    </row>
    <row r="59" spans="2:3" ht="15.75" customHeight="1">
      <c r="B59" s="309" t="s">
        <v>242</v>
      </c>
      <c r="C59" s="310">
        <f t="shared" si="1"/>
        <v>0.2</v>
      </c>
    </row>
    <row r="60" spans="2:3" ht="15.75" customHeight="1">
      <c r="B60" s="309" t="s">
        <v>15</v>
      </c>
      <c r="C60" s="335">
        <f t="shared" si="1"/>
        <v>7.4999999999999997E-2</v>
      </c>
    </row>
    <row r="61" spans="2:3" ht="15.75" customHeight="1">
      <c r="B61" s="309" t="s">
        <v>16</v>
      </c>
      <c r="C61" s="335">
        <f t="shared" si="1"/>
        <v>0.125</v>
      </c>
    </row>
    <row r="62" spans="2:3" ht="15.75" customHeight="1">
      <c r="B62" s="309" t="s">
        <v>17</v>
      </c>
      <c r="C62" s="310">
        <f t="shared" si="1"/>
        <v>0.2</v>
      </c>
    </row>
    <row r="63" spans="2:3" ht="15.75" customHeight="1">
      <c r="B63" s="309" t="s">
        <v>18</v>
      </c>
      <c r="C63" s="310">
        <f t="shared" si="1"/>
        <v>0.2</v>
      </c>
    </row>
    <row r="64" spans="2:3" ht="15.75" customHeight="1">
      <c r="B64" s="311" t="s">
        <v>19</v>
      </c>
      <c r="C64" s="310">
        <f t="shared" si="1"/>
        <v>0</v>
      </c>
    </row>
    <row r="65" spans="2:22" ht="15.75" customHeight="1">
      <c r="B65" s="309" t="s">
        <v>20</v>
      </c>
      <c r="C65" s="310">
        <f t="shared" si="1"/>
        <v>0.2</v>
      </c>
    </row>
    <row r="66" spans="2:22" ht="15.75" customHeight="1">
      <c r="B66" s="313" t="s">
        <v>21</v>
      </c>
      <c r="C66" s="335">
        <f t="shared" si="1"/>
        <v>7.4999999999999997E-2</v>
      </c>
    </row>
    <row r="67" spans="2:22" ht="15.75" customHeight="1">
      <c r="B67" s="348"/>
      <c r="C67" s="348"/>
    </row>
    <row r="68" spans="2:22" ht="15.75" customHeight="1">
      <c r="B68" s="354"/>
      <c r="C68" s="306"/>
    </row>
    <row r="69" spans="2:22" ht="15.75" customHeight="1">
      <c r="B69" s="333" t="s">
        <v>269</v>
      </c>
      <c r="C69" s="308" t="s">
        <v>270</v>
      </c>
    </row>
    <row r="70" spans="2:22" ht="15.75" customHeight="1">
      <c r="B70" s="313"/>
      <c r="C70" s="332">
        <v>0.35</v>
      </c>
    </row>
    <row r="71" spans="2:22" ht="15.75" customHeight="1"/>
    <row r="72" spans="2:22" ht="15.75" customHeight="1">
      <c r="B72" s="336" t="s">
        <v>271</v>
      </c>
      <c r="C72" s="316" t="s">
        <v>272</v>
      </c>
      <c r="D72" s="316">
        <v>2005</v>
      </c>
      <c r="E72" s="316">
        <v>2006</v>
      </c>
      <c r="F72" s="316">
        <v>2007</v>
      </c>
      <c r="G72" s="316">
        <v>2008</v>
      </c>
      <c r="H72" s="316">
        <v>2009</v>
      </c>
      <c r="I72" s="316">
        <v>2010</v>
      </c>
      <c r="J72" s="316">
        <v>2011</v>
      </c>
      <c r="K72" s="316">
        <v>2012</v>
      </c>
      <c r="L72" s="316">
        <v>2013</v>
      </c>
      <c r="M72" s="316">
        <v>2014</v>
      </c>
      <c r="N72" s="316">
        <v>2015</v>
      </c>
      <c r="O72" s="316">
        <v>2016</v>
      </c>
      <c r="P72" s="316">
        <v>2017</v>
      </c>
      <c r="Q72" s="316">
        <v>2018</v>
      </c>
      <c r="R72" s="317">
        <v>2019</v>
      </c>
      <c r="S72" s="317">
        <v>2020</v>
      </c>
      <c r="T72" s="317">
        <v>2021</v>
      </c>
      <c r="U72" s="367">
        <v>2022</v>
      </c>
      <c r="V72" s="367">
        <v>2023</v>
      </c>
    </row>
    <row r="73" spans="2:22" ht="15.75" customHeight="1">
      <c r="B73" s="321" t="s">
        <v>430</v>
      </c>
      <c r="C73" s="320"/>
      <c r="D73" s="326">
        <f t="shared" ref="D73:T73" si="2">((D25-C70)*C64)/10^3</f>
        <v>0</v>
      </c>
      <c r="E73" s="326">
        <f t="shared" si="2"/>
        <v>0</v>
      </c>
      <c r="F73" s="326">
        <f t="shared" si="2"/>
        <v>0</v>
      </c>
      <c r="G73" s="326">
        <f t="shared" si="2"/>
        <v>0</v>
      </c>
      <c r="H73" s="326">
        <f t="shared" si="2"/>
        <v>0</v>
      </c>
      <c r="I73" s="326">
        <f t="shared" si="2"/>
        <v>0</v>
      </c>
      <c r="J73" s="326">
        <f t="shared" si="2"/>
        <v>0</v>
      </c>
      <c r="K73" s="326">
        <f t="shared" si="2"/>
        <v>0</v>
      </c>
      <c r="L73" s="326">
        <f t="shared" si="2"/>
        <v>0</v>
      </c>
      <c r="M73" s="326">
        <f t="shared" si="2"/>
        <v>0</v>
      </c>
      <c r="N73" s="326">
        <f t="shared" si="2"/>
        <v>0</v>
      </c>
      <c r="O73" s="326">
        <f t="shared" si="2"/>
        <v>0</v>
      </c>
      <c r="P73" s="326">
        <f t="shared" si="2"/>
        <v>0</v>
      </c>
      <c r="Q73" s="326">
        <f t="shared" si="2"/>
        <v>0</v>
      </c>
      <c r="R73" s="326">
        <f t="shared" si="2"/>
        <v>0</v>
      </c>
      <c r="S73" s="326">
        <f t="shared" si="2"/>
        <v>0</v>
      </c>
      <c r="T73" s="326">
        <f t="shared" si="2"/>
        <v>0</v>
      </c>
      <c r="U73" s="326">
        <v>0</v>
      </c>
      <c r="V73" s="326">
        <v>0</v>
      </c>
    </row>
    <row r="74" spans="2:22" ht="15.75" customHeight="1">
      <c r="B74" s="371"/>
      <c r="C74" s="361"/>
      <c r="D74" s="341"/>
      <c r="E74" s="341"/>
      <c r="F74" s="341"/>
      <c r="G74" s="341"/>
      <c r="H74" s="341"/>
      <c r="I74" s="341"/>
      <c r="J74" s="341"/>
      <c r="K74" s="341"/>
      <c r="L74" s="341"/>
      <c r="M74" s="341"/>
      <c r="N74" s="341"/>
      <c r="O74" s="341"/>
      <c r="P74" s="341"/>
      <c r="Q74" s="329"/>
    </row>
    <row r="75" spans="2:22" ht="15.75" customHeight="1">
      <c r="B75" s="315" t="s">
        <v>273</v>
      </c>
      <c r="C75" s="316" t="s">
        <v>274</v>
      </c>
      <c r="D75" s="316">
        <v>2005</v>
      </c>
      <c r="E75" s="316">
        <v>2006</v>
      </c>
      <c r="F75" s="316">
        <v>2007</v>
      </c>
      <c r="G75" s="316">
        <v>2008</v>
      </c>
      <c r="H75" s="316">
        <v>2009</v>
      </c>
      <c r="I75" s="316">
        <v>2010</v>
      </c>
      <c r="J75" s="316">
        <v>2011</v>
      </c>
      <c r="K75" s="316">
        <v>2012</v>
      </c>
      <c r="L75" s="316">
        <v>2013</v>
      </c>
      <c r="M75" s="316">
        <v>2014</v>
      </c>
      <c r="N75" s="316">
        <v>2015</v>
      </c>
      <c r="O75" s="316">
        <v>2016</v>
      </c>
      <c r="P75" s="316">
        <v>2017</v>
      </c>
      <c r="Q75" s="316">
        <v>2018</v>
      </c>
      <c r="R75" s="317">
        <v>2019</v>
      </c>
      <c r="S75" s="317">
        <v>2020</v>
      </c>
      <c r="T75" s="317">
        <v>2021</v>
      </c>
      <c r="U75" s="367">
        <v>2022</v>
      </c>
      <c r="V75" s="367">
        <v>2023</v>
      </c>
    </row>
    <row r="76" spans="2:22" ht="15.75" customHeight="1">
      <c r="B76" s="319" t="s">
        <v>432</v>
      </c>
      <c r="C76" s="320" t="s">
        <v>253</v>
      </c>
      <c r="D76" s="320">
        <v>0</v>
      </c>
      <c r="E76" s="320">
        <v>0</v>
      </c>
      <c r="F76" s="320">
        <v>0</v>
      </c>
      <c r="G76" s="320">
        <v>0</v>
      </c>
      <c r="H76" s="320">
        <v>0</v>
      </c>
      <c r="I76" s="320">
        <v>0</v>
      </c>
      <c r="J76" s="320">
        <v>0</v>
      </c>
      <c r="K76" s="320">
        <v>0</v>
      </c>
      <c r="L76" s="320">
        <v>0</v>
      </c>
      <c r="M76" s="320">
        <v>0</v>
      </c>
      <c r="N76" s="320">
        <v>0</v>
      </c>
      <c r="O76" s="320">
        <v>0</v>
      </c>
      <c r="P76" s="320">
        <v>0</v>
      </c>
      <c r="Q76" s="320">
        <v>0</v>
      </c>
      <c r="R76" s="79">
        <v>0</v>
      </c>
      <c r="S76" s="79">
        <v>0</v>
      </c>
      <c r="T76" s="79">
        <v>0</v>
      </c>
      <c r="U76" s="326">
        <v>0</v>
      </c>
      <c r="V76" s="326">
        <v>0</v>
      </c>
    </row>
    <row r="77" spans="2:22" ht="15.75" customHeight="1"/>
    <row r="78" spans="2:22" ht="15.75" customHeight="1">
      <c r="B78" s="315" t="s">
        <v>275</v>
      </c>
      <c r="C78" s="316" t="s">
        <v>272</v>
      </c>
      <c r="D78" s="316">
        <v>2005</v>
      </c>
      <c r="E78" s="316">
        <v>2006</v>
      </c>
      <c r="F78" s="316">
        <v>2007</v>
      </c>
      <c r="G78" s="316">
        <v>2008</v>
      </c>
      <c r="H78" s="316">
        <v>2009</v>
      </c>
      <c r="I78" s="316">
        <v>2010</v>
      </c>
      <c r="J78" s="316">
        <v>2011</v>
      </c>
      <c r="K78" s="316">
        <v>2012</v>
      </c>
      <c r="L78" s="316">
        <v>2013</v>
      </c>
      <c r="M78" s="316">
        <v>2014</v>
      </c>
      <c r="N78" s="316">
        <v>2015</v>
      </c>
      <c r="O78" s="316">
        <v>2016</v>
      </c>
      <c r="P78" s="316">
        <v>2017</v>
      </c>
      <c r="Q78" s="316">
        <v>2018</v>
      </c>
      <c r="R78" s="317">
        <v>2019</v>
      </c>
      <c r="S78" s="317">
        <v>2020</v>
      </c>
      <c r="T78" s="317">
        <v>2021</v>
      </c>
      <c r="U78" s="318">
        <v>2022</v>
      </c>
      <c r="V78" s="367">
        <v>2023</v>
      </c>
    </row>
    <row r="79" spans="2:22" ht="15.75" customHeight="1">
      <c r="B79" s="321" t="s">
        <v>430</v>
      </c>
      <c r="C79" s="326"/>
      <c r="D79" s="351"/>
      <c r="E79" s="351"/>
      <c r="F79" s="351"/>
      <c r="G79" s="351"/>
      <c r="H79" s="351"/>
      <c r="I79" s="351"/>
      <c r="J79" s="351"/>
      <c r="K79" s="351"/>
      <c r="L79" s="351"/>
      <c r="M79" s="351"/>
      <c r="N79" s="351"/>
      <c r="O79" s="326"/>
      <c r="P79" s="326"/>
      <c r="Q79" s="326"/>
      <c r="R79" s="79"/>
      <c r="S79" s="79"/>
      <c r="T79" s="79"/>
      <c r="U79" s="322"/>
    </row>
    <row r="80" spans="2:22" ht="15.75" customHeight="1">
      <c r="B80" s="352" t="s">
        <v>0</v>
      </c>
      <c r="C80" s="320"/>
      <c r="D80" s="326">
        <f t="shared" ref="D80:T80" si="3">D73*(1-D76)</f>
        <v>0</v>
      </c>
      <c r="E80" s="326">
        <f t="shared" si="3"/>
        <v>0</v>
      </c>
      <c r="F80" s="326">
        <f t="shared" si="3"/>
        <v>0</v>
      </c>
      <c r="G80" s="326">
        <f t="shared" si="3"/>
        <v>0</v>
      </c>
      <c r="H80" s="326">
        <f t="shared" si="3"/>
        <v>0</v>
      </c>
      <c r="I80" s="326">
        <f t="shared" si="3"/>
        <v>0</v>
      </c>
      <c r="J80" s="326">
        <f t="shared" si="3"/>
        <v>0</v>
      </c>
      <c r="K80" s="326">
        <f t="shared" si="3"/>
        <v>0</v>
      </c>
      <c r="L80" s="326">
        <f t="shared" si="3"/>
        <v>0</v>
      </c>
      <c r="M80" s="326">
        <f t="shared" si="3"/>
        <v>0</v>
      </c>
      <c r="N80" s="326">
        <f t="shared" si="3"/>
        <v>0</v>
      </c>
      <c r="O80" s="326">
        <f t="shared" si="3"/>
        <v>0</v>
      </c>
      <c r="P80" s="326">
        <f t="shared" si="3"/>
        <v>0</v>
      </c>
      <c r="Q80" s="326">
        <f t="shared" si="3"/>
        <v>0</v>
      </c>
      <c r="R80" s="326">
        <f t="shared" si="3"/>
        <v>0</v>
      </c>
      <c r="S80" s="326">
        <f t="shared" si="3"/>
        <v>0</v>
      </c>
      <c r="T80" s="326">
        <f t="shared" si="3"/>
        <v>0</v>
      </c>
      <c r="U80" s="326">
        <v>0</v>
      </c>
      <c r="V80" s="326">
        <v>0</v>
      </c>
    </row>
    <row r="81" spans="2:22" ht="15.75" customHeight="1"/>
    <row r="82" spans="2:22" ht="15.75" customHeight="1">
      <c r="B82" s="315" t="s">
        <v>433</v>
      </c>
      <c r="C82" s="316" t="s">
        <v>272</v>
      </c>
      <c r="D82" s="316">
        <v>2005</v>
      </c>
      <c r="E82" s="316">
        <v>2006</v>
      </c>
      <c r="F82" s="316">
        <v>2007</v>
      </c>
      <c r="G82" s="316">
        <v>2008</v>
      </c>
      <c r="H82" s="316">
        <v>2009</v>
      </c>
      <c r="I82" s="316">
        <v>2010</v>
      </c>
      <c r="J82" s="316">
        <v>2011</v>
      </c>
      <c r="K82" s="316">
        <v>2012</v>
      </c>
      <c r="L82" s="316">
        <v>2013</v>
      </c>
      <c r="M82" s="316">
        <v>2014</v>
      </c>
      <c r="N82" s="316">
        <v>2015</v>
      </c>
      <c r="O82" s="316">
        <v>2016</v>
      </c>
      <c r="P82" s="316">
        <v>2017</v>
      </c>
      <c r="Q82" s="316">
        <v>2018</v>
      </c>
      <c r="R82" s="317">
        <v>2019</v>
      </c>
      <c r="S82" s="317">
        <v>2020</v>
      </c>
      <c r="T82" s="317">
        <v>2021</v>
      </c>
      <c r="U82" s="318">
        <v>2022</v>
      </c>
      <c r="V82" s="367">
        <v>2023</v>
      </c>
    </row>
    <row r="83" spans="2:22" ht="15.75" customHeight="1">
      <c r="B83" s="321" t="s">
        <v>430</v>
      </c>
      <c r="C83" s="320"/>
      <c r="D83" s="351"/>
      <c r="E83" s="351"/>
      <c r="F83" s="351"/>
      <c r="G83" s="351"/>
      <c r="H83" s="351"/>
      <c r="I83" s="351"/>
      <c r="J83" s="351"/>
      <c r="K83" s="351"/>
      <c r="L83" s="351"/>
      <c r="M83" s="351"/>
      <c r="N83" s="351"/>
      <c r="O83" s="326"/>
      <c r="P83" s="326"/>
      <c r="Q83" s="326"/>
      <c r="R83" s="79"/>
      <c r="S83" s="79"/>
      <c r="T83" s="79"/>
    </row>
    <row r="84" spans="2:22" ht="15.75" customHeight="1">
      <c r="B84" s="352" t="s">
        <v>0</v>
      </c>
      <c r="C84" s="320"/>
      <c r="D84" s="326">
        <f t="shared" ref="D84:T84" si="4">D80*21</f>
        <v>0</v>
      </c>
      <c r="E84" s="326">
        <f t="shared" si="4"/>
        <v>0</v>
      </c>
      <c r="F84" s="326">
        <f t="shared" si="4"/>
        <v>0</v>
      </c>
      <c r="G84" s="326">
        <f t="shared" si="4"/>
        <v>0</v>
      </c>
      <c r="H84" s="326">
        <f t="shared" si="4"/>
        <v>0</v>
      </c>
      <c r="I84" s="326">
        <f t="shared" si="4"/>
        <v>0</v>
      </c>
      <c r="J84" s="326">
        <f t="shared" si="4"/>
        <v>0</v>
      </c>
      <c r="K84" s="326">
        <f t="shared" si="4"/>
        <v>0</v>
      </c>
      <c r="L84" s="326">
        <f t="shared" si="4"/>
        <v>0</v>
      </c>
      <c r="M84" s="326">
        <f t="shared" si="4"/>
        <v>0</v>
      </c>
      <c r="N84" s="326">
        <f t="shared" si="4"/>
        <v>0</v>
      </c>
      <c r="O84" s="326">
        <f t="shared" si="4"/>
        <v>0</v>
      </c>
      <c r="P84" s="326">
        <f t="shared" si="4"/>
        <v>0</v>
      </c>
      <c r="Q84" s="326">
        <f t="shared" si="4"/>
        <v>0</v>
      </c>
      <c r="R84" s="326">
        <f t="shared" si="4"/>
        <v>0</v>
      </c>
      <c r="S84" s="326">
        <f t="shared" si="4"/>
        <v>0</v>
      </c>
      <c r="T84" s="326">
        <f t="shared" si="4"/>
        <v>0</v>
      </c>
      <c r="U84" s="56">
        <f>U77*27.9</f>
        <v>0</v>
      </c>
      <c r="V84" s="56">
        <f>V77*27.9</f>
        <v>0</v>
      </c>
    </row>
    <row r="85" spans="2:22" ht="15.75" customHeight="1"/>
    <row r="86" spans="2:22" ht="15.75" customHeight="1">
      <c r="B86" s="315" t="s">
        <v>434</v>
      </c>
      <c r="C86" s="316" t="s">
        <v>272</v>
      </c>
      <c r="D86" s="316">
        <v>2005</v>
      </c>
      <c r="E86" s="316">
        <v>2006</v>
      </c>
      <c r="F86" s="316">
        <v>2007</v>
      </c>
      <c r="G86" s="316">
        <v>2008</v>
      </c>
      <c r="H86" s="316">
        <v>2009</v>
      </c>
      <c r="I86" s="316">
        <v>2010</v>
      </c>
      <c r="J86" s="316">
        <v>2011</v>
      </c>
      <c r="K86" s="316">
        <v>2012</v>
      </c>
      <c r="L86" s="316">
        <v>2013</v>
      </c>
      <c r="M86" s="316">
        <v>2014</v>
      </c>
      <c r="N86" s="316">
        <v>2015</v>
      </c>
      <c r="O86" s="316">
        <v>2016</v>
      </c>
      <c r="P86" s="316">
        <v>2017</v>
      </c>
      <c r="Q86" s="316">
        <v>2018</v>
      </c>
      <c r="R86" s="317">
        <v>2019</v>
      </c>
      <c r="S86" s="317">
        <v>2020</v>
      </c>
      <c r="T86" s="317">
        <v>2021</v>
      </c>
      <c r="U86" s="318">
        <v>2022</v>
      </c>
      <c r="V86" s="367">
        <v>2023</v>
      </c>
    </row>
    <row r="87" spans="2:22" ht="15.75" customHeight="1">
      <c r="D87" s="56">
        <f t="shared" ref="D87:V87" si="5">D80*27.9</f>
        <v>0</v>
      </c>
      <c r="E87" s="56">
        <f t="shared" si="5"/>
        <v>0</v>
      </c>
      <c r="F87" s="56">
        <f t="shared" si="5"/>
        <v>0</v>
      </c>
      <c r="G87" s="56">
        <f t="shared" si="5"/>
        <v>0</v>
      </c>
      <c r="H87" s="56">
        <f t="shared" si="5"/>
        <v>0</v>
      </c>
      <c r="I87" s="56">
        <f t="shared" si="5"/>
        <v>0</v>
      </c>
      <c r="J87" s="56">
        <f t="shared" si="5"/>
        <v>0</v>
      </c>
      <c r="K87" s="56">
        <f t="shared" si="5"/>
        <v>0</v>
      </c>
      <c r="L87" s="56">
        <f t="shared" si="5"/>
        <v>0</v>
      </c>
      <c r="M87" s="56">
        <f t="shared" si="5"/>
        <v>0</v>
      </c>
      <c r="N87" s="56">
        <f t="shared" si="5"/>
        <v>0</v>
      </c>
      <c r="O87" s="56">
        <f t="shared" si="5"/>
        <v>0</v>
      </c>
      <c r="P87" s="56">
        <f t="shared" si="5"/>
        <v>0</v>
      </c>
      <c r="Q87" s="56">
        <f t="shared" si="5"/>
        <v>0</v>
      </c>
      <c r="R87" s="56">
        <f t="shared" si="5"/>
        <v>0</v>
      </c>
      <c r="S87" s="56">
        <f t="shared" si="5"/>
        <v>0</v>
      </c>
      <c r="T87" s="56">
        <f t="shared" si="5"/>
        <v>0</v>
      </c>
      <c r="U87" s="56">
        <f t="shared" si="5"/>
        <v>0</v>
      </c>
      <c r="V87" s="56">
        <f t="shared" si="5"/>
        <v>0</v>
      </c>
    </row>
    <row r="88" spans="2:22" ht="15.75" customHeight="1"/>
    <row r="89" spans="2:22" ht="15.75" customHeight="1">
      <c r="B89" s="480" t="s">
        <v>435</v>
      </c>
      <c r="C89" s="480" t="s">
        <v>272</v>
      </c>
      <c r="D89" s="480">
        <v>2005</v>
      </c>
      <c r="E89" s="480">
        <v>2006</v>
      </c>
      <c r="F89" s="480">
        <v>2007</v>
      </c>
      <c r="G89" s="480">
        <v>2008</v>
      </c>
      <c r="H89" s="480">
        <v>2009</v>
      </c>
      <c r="I89" s="480">
        <v>2010</v>
      </c>
      <c r="J89" s="480">
        <v>2011</v>
      </c>
      <c r="K89" s="480">
        <v>2012</v>
      </c>
      <c r="L89" s="480">
        <v>2013</v>
      </c>
      <c r="M89" s="480">
        <v>2014</v>
      </c>
      <c r="N89" s="480">
        <v>2015</v>
      </c>
      <c r="O89" s="480">
        <v>2016</v>
      </c>
      <c r="P89" s="480">
        <v>2017</v>
      </c>
      <c r="Q89" s="480">
        <v>2018</v>
      </c>
      <c r="R89" s="483">
        <v>2019</v>
      </c>
      <c r="S89" s="483">
        <v>2020</v>
      </c>
      <c r="T89" s="483">
        <v>2021</v>
      </c>
      <c r="U89" s="484">
        <v>2022</v>
      </c>
      <c r="V89" s="484">
        <v>2023</v>
      </c>
    </row>
    <row r="90" spans="2:22" ht="15.75" customHeight="1">
      <c r="B90" s="491"/>
      <c r="C90" s="491"/>
      <c r="D90" s="491">
        <f t="shared" ref="D90:T90" si="6">D80*5.38</f>
        <v>0</v>
      </c>
      <c r="E90" s="491">
        <f t="shared" si="6"/>
        <v>0</v>
      </c>
      <c r="F90" s="491">
        <f t="shared" si="6"/>
        <v>0</v>
      </c>
      <c r="G90" s="491">
        <f t="shared" si="6"/>
        <v>0</v>
      </c>
      <c r="H90" s="491">
        <f t="shared" si="6"/>
        <v>0</v>
      </c>
      <c r="I90" s="491">
        <f t="shared" si="6"/>
        <v>0</v>
      </c>
      <c r="J90" s="491">
        <f t="shared" si="6"/>
        <v>0</v>
      </c>
      <c r="K90" s="491">
        <f t="shared" si="6"/>
        <v>0</v>
      </c>
      <c r="L90" s="491">
        <f t="shared" si="6"/>
        <v>0</v>
      </c>
      <c r="M90" s="491">
        <f t="shared" si="6"/>
        <v>0</v>
      </c>
      <c r="N90" s="491">
        <f t="shared" si="6"/>
        <v>0</v>
      </c>
      <c r="O90" s="491">
        <f t="shared" si="6"/>
        <v>0</v>
      </c>
      <c r="P90" s="491">
        <f t="shared" si="6"/>
        <v>0</v>
      </c>
      <c r="Q90" s="491">
        <f t="shared" si="6"/>
        <v>0</v>
      </c>
      <c r="R90" s="491">
        <f t="shared" si="6"/>
        <v>0</v>
      </c>
      <c r="S90" s="491">
        <f t="shared" si="6"/>
        <v>0</v>
      </c>
      <c r="T90" s="491">
        <f t="shared" si="6"/>
        <v>0</v>
      </c>
      <c r="U90" s="491">
        <v>0</v>
      </c>
      <c r="V90" s="491">
        <v>0</v>
      </c>
    </row>
    <row r="91" spans="2:22" ht="15.75" customHeight="1">
      <c r="B91" s="529"/>
      <c r="C91" s="529"/>
      <c r="D91" s="529"/>
      <c r="E91" s="529"/>
      <c r="F91" s="529"/>
      <c r="G91" s="529"/>
      <c r="H91" s="529"/>
      <c r="I91" s="529"/>
      <c r="J91" s="529"/>
      <c r="K91" s="529"/>
      <c r="L91" s="529"/>
      <c r="M91" s="529"/>
      <c r="N91" s="529"/>
      <c r="O91" s="529"/>
      <c r="P91" s="529"/>
      <c r="Q91" s="529"/>
      <c r="R91" s="529"/>
      <c r="S91" s="529"/>
      <c r="T91" s="529"/>
      <c r="U91" s="529"/>
      <c r="V91" s="529"/>
    </row>
    <row r="92" spans="2:22" ht="15.75" customHeight="1">
      <c r="B92" s="510"/>
      <c r="C92" s="510"/>
      <c r="D92" s="510"/>
      <c r="E92" s="510"/>
      <c r="F92" s="510"/>
      <c r="G92" s="510"/>
      <c r="H92" s="510"/>
      <c r="I92" s="510"/>
      <c r="J92" s="510"/>
      <c r="K92" s="510"/>
      <c r="L92" s="510"/>
      <c r="M92" s="510"/>
      <c r="N92" s="510"/>
      <c r="O92" s="510"/>
      <c r="P92" s="510"/>
      <c r="Q92" s="510"/>
      <c r="R92" s="510"/>
      <c r="S92" s="510"/>
      <c r="T92" s="510"/>
      <c r="U92" s="510"/>
      <c r="V92" s="510"/>
    </row>
    <row r="93" spans="2:22" ht="15.75" customHeight="1"/>
    <row r="94" spans="2:22" ht="15.75" customHeight="1">
      <c r="B94" s="510"/>
      <c r="C94" s="510"/>
      <c r="D94" s="510"/>
      <c r="E94" s="510"/>
      <c r="F94" s="510"/>
      <c r="G94" s="510"/>
      <c r="H94" s="510"/>
      <c r="I94" s="510"/>
      <c r="J94" s="510"/>
      <c r="K94" s="510"/>
      <c r="L94" s="510"/>
      <c r="M94" s="510"/>
      <c r="N94" s="510"/>
      <c r="O94" s="510"/>
      <c r="P94" s="510"/>
      <c r="Q94" s="510"/>
      <c r="R94" s="510"/>
      <c r="S94" s="510"/>
      <c r="T94" s="510"/>
      <c r="U94" s="510"/>
      <c r="V94" s="510"/>
    </row>
    <row r="95" spans="2:22" ht="15.75" customHeight="1">
      <c r="B95" s="510"/>
      <c r="C95" s="510"/>
      <c r="D95" s="510"/>
      <c r="E95" s="510"/>
      <c r="F95" s="510"/>
      <c r="G95" s="510"/>
      <c r="H95" s="510"/>
      <c r="I95" s="510"/>
      <c r="J95" s="510"/>
      <c r="K95" s="510"/>
      <c r="L95" s="510"/>
      <c r="M95" s="510"/>
      <c r="N95" s="510"/>
      <c r="O95" s="510"/>
      <c r="P95" s="510"/>
      <c r="Q95" s="510"/>
      <c r="R95" s="510"/>
      <c r="S95" s="510"/>
      <c r="T95" s="510"/>
      <c r="U95" s="510"/>
      <c r="V95" s="510"/>
    </row>
    <row r="96" spans="2:22" ht="15.75" customHeight="1">
      <c r="B96" s="510"/>
      <c r="C96" s="510"/>
      <c r="D96" s="510"/>
      <c r="E96" s="510"/>
      <c r="F96" s="510"/>
      <c r="G96" s="510"/>
      <c r="H96" s="510"/>
      <c r="I96" s="510"/>
      <c r="J96" s="510"/>
      <c r="K96" s="510"/>
      <c r="L96" s="510"/>
      <c r="M96" s="510"/>
      <c r="N96" s="510"/>
      <c r="O96" s="510"/>
      <c r="P96" s="510"/>
      <c r="Q96" s="510"/>
      <c r="R96" s="510"/>
      <c r="S96" s="510"/>
      <c r="T96" s="510"/>
      <c r="U96" s="510"/>
      <c r="V96" s="510"/>
    </row>
    <row r="97" spans="2:22" ht="15.75" customHeight="1">
      <c r="B97" s="510"/>
      <c r="C97" s="510"/>
      <c r="D97" s="510"/>
      <c r="E97" s="510"/>
      <c r="F97" s="510"/>
      <c r="G97" s="510"/>
      <c r="H97" s="510"/>
      <c r="I97" s="510"/>
      <c r="J97" s="510"/>
      <c r="K97" s="510"/>
      <c r="L97" s="510"/>
      <c r="M97" s="510"/>
      <c r="N97" s="510"/>
      <c r="O97" s="510"/>
      <c r="P97" s="510"/>
      <c r="Q97" s="510"/>
      <c r="R97" s="510"/>
      <c r="S97" s="510"/>
      <c r="T97" s="510"/>
      <c r="U97" s="510"/>
      <c r="V97" s="510"/>
    </row>
    <row r="98" spans="2:22" ht="15.75" customHeight="1"/>
    <row r="99" spans="2:22" ht="15.75" customHeight="1"/>
    <row r="100" spans="2:22" ht="15.75" customHeight="1"/>
    <row r="101" spans="2:22" ht="15.75" customHeight="1"/>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c r="B109" s="56" t="s">
        <v>436</v>
      </c>
    </row>
    <row r="110" spans="2:22" ht="15.75" customHeight="1">
      <c r="B110" s="132" t="s">
        <v>437</v>
      </c>
    </row>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B37:C3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6B11-36E7-4F66-A117-331F550236BD}">
  <sheetPr>
    <tabColor theme="4" tint="0.59999389629810485"/>
    <outlinePr summaryBelow="0" summaryRight="0"/>
  </sheetPr>
  <dimension ref="A1:V1003"/>
  <sheetViews>
    <sheetView workbookViewId="0">
      <selection activeCell="B103" sqref="B103:B105"/>
    </sheetView>
  </sheetViews>
  <sheetFormatPr defaultColWidth="12.6640625" defaultRowHeight="15" customHeight="1"/>
  <cols>
    <col min="1" max="1" width="47.21875" style="10" customWidth="1"/>
    <col min="2" max="6" width="12.6640625" style="10" customWidth="1"/>
    <col min="7" max="16384" width="12.6640625" style="10"/>
  </cols>
  <sheetData>
    <row r="1" spans="1:20" ht="15.75" customHeight="1">
      <c r="A1" s="343" t="s">
        <v>438</v>
      </c>
      <c r="B1" s="348"/>
      <c r="C1" s="348"/>
      <c r="D1" s="348"/>
      <c r="E1" s="348"/>
      <c r="F1" s="348"/>
      <c r="G1" s="348"/>
      <c r="H1" s="348"/>
      <c r="I1" s="348"/>
      <c r="J1" s="348"/>
      <c r="K1" s="348"/>
      <c r="L1" s="348"/>
      <c r="M1" s="348"/>
      <c r="N1" s="348"/>
      <c r="O1" s="348"/>
      <c r="P1" s="348"/>
      <c r="Q1" s="348"/>
    </row>
    <row r="2" spans="1:20" ht="15.75" customHeight="1">
      <c r="A2" s="348"/>
      <c r="B2" s="348"/>
      <c r="C2" s="348"/>
      <c r="D2" s="348"/>
      <c r="E2" s="348"/>
      <c r="F2" s="348"/>
      <c r="G2" s="348"/>
      <c r="H2" s="348"/>
      <c r="I2" s="348"/>
      <c r="J2" s="348"/>
      <c r="K2" s="348"/>
      <c r="L2" s="348"/>
      <c r="M2" s="348"/>
      <c r="N2" s="348"/>
      <c r="O2" s="348"/>
      <c r="P2" s="348"/>
      <c r="Q2" s="348"/>
    </row>
    <row r="3" spans="1:20" ht="15.75" customHeight="1">
      <c r="A3" s="731" t="s">
        <v>8</v>
      </c>
      <c r="B3" s="739" t="s">
        <v>244</v>
      </c>
      <c r="C3" s="670"/>
      <c r="D3" s="670"/>
      <c r="E3" s="670"/>
      <c r="F3" s="670"/>
      <c r="G3" s="670"/>
      <c r="H3" s="670"/>
      <c r="I3" s="670"/>
      <c r="J3" s="670"/>
      <c r="K3" s="670"/>
      <c r="L3" s="670"/>
      <c r="M3" s="670"/>
      <c r="N3" s="670"/>
      <c r="O3" s="670"/>
      <c r="P3" s="670"/>
      <c r="Q3" s="672"/>
      <c r="R3" s="317"/>
      <c r="S3" s="317"/>
      <c r="T3" s="317"/>
    </row>
    <row r="4" spans="1:20" ht="15.75" customHeight="1">
      <c r="A4" s="664"/>
      <c r="B4" s="426" t="s">
        <v>276</v>
      </c>
      <c r="C4" s="427">
        <v>38108</v>
      </c>
      <c r="D4" s="427">
        <v>38504</v>
      </c>
      <c r="E4" s="427">
        <v>38899</v>
      </c>
      <c r="F4" s="427">
        <v>39295</v>
      </c>
      <c r="G4" s="427">
        <v>39692</v>
      </c>
      <c r="H4" s="428">
        <v>40087</v>
      </c>
      <c r="I4" s="428">
        <v>40483</v>
      </c>
      <c r="J4" s="428">
        <v>40878</v>
      </c>
      <c r="K4" s="426" t="s">
        <v>277</v>
      </c>
      <c r="L4" s="426" t="s">
        <v>278</v>
      </c>
      <c r="M4" s="426" t="s">
        <v>210</v>
      </c>
      <c r="N4" s="426" t="s">
        <v>279</v>
      </c>
      <c r="O4" s="426" t="s">
        <v>280</v>
      </c>
      <c r="P4" s="426" t="s">
        <v>281</v>
      </c>
      <c r="Q4" s="426" t="s">
        <v>282</v>
      </c>
      <c r="R4" s="317" t="s">
        <v>283</v>
      </c>
      <c r="S4" s="317" t="s">
        <v>284</v>
      </c>
      <c r="T4" s="317" t="s">
        <v>285</v>
      </c>
    </row>
    <row r="5" spans="1:20" ht="15.75" customHeight="1">
      <c r="A5" s="326" t="s">
        <v>439</v>
      </c>
      <c r="B5" s="429" t="s">
        <v>272</v>
      </c>
      <c r="C5" s="430">
        <v>843519</v>
      </c>
      <c r="D5" s="430">
        <v>900259</v>
      </c>
      <c r="E5" s="430">
        <v>952408</v>
      </c>
      <c r="F5" s="430">
        <v>926610</v>
      </c>
      <c r="G5" s="430">
        <v>961239</v>
      </c>
      <c r="H5" s="430">
        <v>938143</v>
      </c>
      <c r="I5" s="430">
        <v>972290</v>
      </c>
      <c r="J5" s="430">
        <v>1014299</v>
      </c>
      <c r="K5" s="430">
        <v>1022392</v>
      </c>
      <c r="L5" s="430">
        <v>886886</v>
      </c>
      <c r="M5" s="430">
        <v>796891</v>
      </c>
      <c r="N5" s="430">
        <v>761845</v>
      </c>
      <c r="O5" s="430">
        <v>913744</v>
      </c>
      <c r="P5" s="430">
        <v>1025221</v>
      </c>
      <c r="Q5" s="430">
        <v>1031772</v>
      </c>
      <c r="R5" s="152">
        <v>1110940</v>
      </c>
      <c r="S5" s="152">
        <v>1143320</v>
      </c>
      <c r="T5" s="152">
        <v>1260165</v>
      </c>
    </row>
    <row r="6" spans="1:20" ht="15.75" customHeight="1">
      <c r="A6" s="431" t="s">
        <v>0</v>
      </c>
      <c r="B6" s="331" t="s">
        <v>272</v>
      </c>
      <c r="C6" s="432">
        <f t="shared" ref="C6:T6" si="0">C16/C17*C5</f>
        <v>157456.88</v>
      </c>
      <c r="D6" s="432">
        <f t="shared" si="0"/>
        <v>162753.43491735539</v>
      </c>
      <c r="E6" s="432">
        <f t="shared" si="0"/>
        <v>160578.03698924731</v>
      </c>
      <c r="F6" s="432">
        <f t="shared" si="0"/>
        <v>155333.45830639947</v>
      </c>
      <c r="G6" s="432">
        <f t="shared" si="0"/>
        <v>155313.90383365823</v>
      </c>
      <c r="H6" s="432">
        <f t="shared" si="0"/>
        <v>154975.91961130741</v>
      </c>
      <c r="I6" s="432">
        <f t="shared" si="0"/>
        <v>157844.93291592129</v>
      </c>
      <c r="J6" s="432">
        <f t="shared" si="0"/>
        <v>175636.19047619047</v>
      </c>
      <c r="K6" s="432">
        <f t="shared" si="0"/>
        <v>170673.69333640765</v>
      </c>
      <c r="L6" s="432">
        <f t="shared" si="0"/>
        <v>149477.45671641789</v>
      </c>
      <c r="M6" s="432">
        <f t="shared" si="0"/>
        <v>146918.53425006368</v>
      </c>
      <c r="N6" s="432">
        <f t="shared" si="0"/>
        <v>142809.94708994709</v>
      </c>
      <c r="O6" s="432">
        <f t="shared" si="0"/>
        <v>153279.07338991514</v>
      </c>
      <c r="P6" s="432">
        <f t="shared" si="0"/>
        <v>172582.29258517033</v>
      </c>
      <c r="Q6" s="432">
        <f t="shared" si="0"/>
        <v>159350.46419327005</v>
      </c>
      <c r="R6" s="432">
        <f t="shared" si="0"/>
        <v>176106.73712021136</v>
      </c>
      <c r="S6" s="432">
        <f t="shared" si="0"/>
        <v>184848.14371257485</v>
      </c>
      <c r="T6" s="432">
        <f t="shared" si="0"/>
        <v>203665.90754972876</v>
      </c>
    </row>
    <row r="7" spans="1:20" ht="15.75" customHeight="1"/>
    <row r="8" spans="1:20" ht="15.75" customHeight="1">
      <c r="A8" s="132" t="s">
        <v>440</v>
      </c>
    </row>
    <row r="9" spans="1:20" ht="15.75" customHeight="1">
      <c r="A9" s="433" t="s">
        <v>441</v>
      </c>
    </row>
    <row r="10" spans="1:20" ht="15.75" customHeight="1">
      <c r="A10" s="433" t="s">
        <v>442</v>
      </c>
    </row>
    <row r="11" spans="1:20" ht="15.75" customHeight="1"/>
    <row r="12" spans="1:20" ht="15.75" customHeight="1">
      <c r="A12" s="343" t="s">
        <v>443</v>
      </c>
      <c r="B12" s="348"/>
      <c r="C12" s="348"/>
      <c r="D12" s="348"/>
      <c r="E12" s="348"/>
      <c r="F12" s="348"/>
      <c r="G12" s="348"/>
      <c r="H12" s="348"/>
      <c r="I12" s="348"/>
      <c r="J12" s="348"/>
      <c r="K12" s="348"/>
      <c r="L12" s="348"/>
      <c r="M12" s="348"/>
      <c r="N12" s="348"/>
      <c r="O12" s="348"/>
      <c r="P12" s="371"/>
      <c r="Q12" s="348"/>
      <c r="R12" s="348"/>
      <c r="S12" s="348"/>
      <c r="T12" s="348"/>
    </row>
    <row r="13" spans="1:20" ht="15.75" customHeight="1">
      <c r="A13" s="348"/>
      <c r="B13" s="434"/>
      <c r="C13" s="434"/>
      <c r="D13" s="434"/>
      <c r="E13" s="434"/>
      <c r="F13" s="434"/>
      <c r="G13" s="434"/>
      <c r="H13" s="434"/>
      <c r="I13" s="434"/>
      <c r="J13" s="348"/>
      <c r="K13" s="348"/>
      <c r="L13" s="348"/>
      <c r="M13" s="348"/>
      <c r="N13" s="348"/>
      <c r="O13" s="348"/>
      <c r="P13" s="341"/>
      <c r="Q13" s="348"/>
      <c r="R13" s="348"/>
      <c r="S13" s="348"/>
      <c r="T13" s="348"/>
    </row>
    <row r="14" spans="1:20" ht="15.75" customHeight="1">
      <c r="A14" s="731" t="s">
        <v>8</v>
      </c>
      <c r="B14" s="739" t="s">
        <v>444</v>
      </c>
      <c r="C14" s="670"/>
      <c r="D14" s="670"/>
      <c r="E14" s="670"/>
      <c r="F14" s="670"/>
      <c r="G14" s="670"/>
      <c r="H14" s="670"/>
      <c r="I14" s="670"/>
      <c r="J14" s="670"/>
      <c r="K14" s="670"/>
      <c r="L14" s="670"/>
      <c r="M14" s="670"/>
      <c r="N14" s="670"/>
      <c r="O14" s="670"/>
      <c r="P14" s="670"/>
      <c r="Q14" s="670"/>
      <c r="R14" s="670"/>
      <c r="S14" s="670"/>
      <c r="T14" s="672"/>
    </row>
    <row r="15" spans="1:20" ht="15.75" customHeight="1">
      <c r="A15" s="665"/>
      <c r="B15" s="435" t="s">
        <v>276</v>
      </c>
      <c r="C15" s="427">
        <v>38108</v>
      </c>
      <c r="D15" s="427">
        <v>38504</v>
      </c>
      <c r="E15" s="427">
        <v>38899</v>
      </c>
      <c r="F15" s="427">
        <v>39295</v>
      </c>
      <c r="G15" s="427">
        <v>39692</v>
      </c>
      <c r="H15" s="428">
        <v>40087</v>
      </c>
      <c r="I15" s="428">
        <v>40483</v>
      </c>
      <c r="J15" s="428">
        <v>40878</v>
      </c>
      <c r="K15" s="426" t="s">
        <v>277</v>
      </c>
      <c r="L15" s="426" t="s">
        <v>278</v>
      </c>
      <c r="M15" s="426" t="s">
        <v>210</v>
      </c>
      <c r="N15" s="426" t="s">
        <v>279</v>
      </c>
      <c r="O15" s="426" t="s">
        <v>280</v>
      </c>
      <c r="P15" s="426" t="s">
        <v>281</v>
      </c>
      <c r="Q15" s="426" t="s">
        <v>282</v>
      </c>
      <c r="R15" s="426" t="s">
        <v>283</v>
      </c>
      <c r="S15" s="426" t="s">
        <v>284</v>
      </c>
      <c r="T15" s="426" t="s">
        <v>285</v>
      </c>
    </row>
    <row r="16" spans="1:20" ht="15.75" customHeight="1">
      <c r="A16" s="431" t="s">
        <v>0</v>
      </c>
      <c r="B16" s="331" t="s">
        <v>445</v>
      </c>
      <c r="C16" s="436">
        <v>896</v>
      </c>
      <c r="D16" s="436">
        <v>875</v>
      </c>
      <c r="E16" s="436">
        <v>784</v>
      </c>
      <c r="F16" s="436">
        <v>778</v>
      </c>
      <c r="G16" s="436">
        <v>746</v>
      </c>
      <c r="H16" s="436">
        <v>748</v>
      </c>
      <c r="I16" s="436">
        <v>726</v>
      </c>
      <c r="J16" s="436">
        <v>760</v>
      </c>
      <c r="K16" s="436">
        <v>724</v>
      </c>
      <c r="L16" s="436">
        <v>734</v>
      </c>
      <c r="M16" s="436">
        <v>724</v>
      </c>
      <c r="N16" s="436">
        <v>744</v>
      </c>
      <c r="O16" s="436">
        <v>672</v>
      </c>
      <c r="P16" s="436">
        <v>672</v>
      </c>
      <c r="Q16" s="436">
        <v>537</v>
      </c>
      <c r="R16" s="436">
        <v>600</v>
      </c>
      <c r="S16" s="436">
        <v>648</v>
      </c>
      <c r="T16" s="436">
        <v>715</v>
      </c>
    </row>
    <row r="17" spans="1:22" ht="15.75" customHeight="1">
      <c r="A17" s="370" t="s">
        <v>133</v>
      </c>
      <c r="B17" s="429" t="s">
        <v>445</v>
      </c>
      <c r="C17" s="437">
        <v>4800</v>
      </c>
      <c r="D17" s="437">
        <v>4840</v>
      </c>
      <c r="E17" s="437">
        <v>4650</v>
      </c>
      <c r="F17" s="437">
        <v>4641</v>
      </c>
      <c r="G17" s="437">
        <v>4617</v>
      </c>
      <c r="H17" s="437">
        <v>4528</v>
      </c>
      <c r="I17" s="437">
        <v>4472</v>
      </c>
      <c r="J17" s="437">
        <v>4389</v>
      </c>
      <c r="K17" s="437">
        <v>4337</v>
      </c>
      <c r="L17" s="437">
        <v>4355</v>
      </c>
      <c r="M17" s="437">
        <v>3927</v>
      </c>
      <c r="N17" s="437">
        <v>3969</v>
      </c>
      <c r="O17" s="437">
        <v>4006</v>
      </c>
      <c r="P17" s="437">
        <v>3992</v>
      </c>
      <c r="Q17" s="437">
        <v>3477</v>
      </c>
      <c r="R17" s="437">
        <v>3785</v>
      </c>
      <c r="S17" s="437">
        <v>4008</v>
      </c>
      <c r="T17" s="437">
        <v>4424</v>
      </c>
      <c r="U17" s="361"/>
      <c r="V17" s="361"/>
    </row>
    <row r="18" spans="1:22" ht="15.75" customHeight="1">
      <c r="A18" s="366"/>
      <c r="B18" s="341"/>
      <c r="C18" s="306"/>
      <c r="D18" s="306"/>
      <c r="E18" s="306"/>
      <c r="F18" s="306"/>
      <c r="G18" s="306"/>
      <c r="H18" s="306"/>
      <c r="I18" s="306"/>
      <c r="J18" s="306"/>
      <c r="K18" s="306"/>
      <c r="L18" s="306"/>
      <c r="M18" s="348"/>
      <c r="N18" s="361"/>
      <c r="O18" s="361"/>
      <c r="P18" s="361"/>
      <c r="Q18" s="361"/>
      <c r="R18" s="361"/>
      <c r="S18" s="361"/>
      <c r="T18" s="361"/>
      <c r="U18" s="361"/>
      <c r="V18" s="361"/>
    </row>
    <row r="19" spans="1:22" ht="15.75" customHeight="1">
      <c r="A19" s="438"/>
      <c r="B19" s="438"/>
      <c r="C19" s="438"/>
      <c r="D19" s="438"/>
      <c r="E19" s="348"/>
      <c r="F19" s="348"/>
      <c r="G19" s="348"/>
      <c r="H19" s="348"/>
      <c r="I19" s="348"/>
      <c r="J19" s="348"/>
      <c r="K19" s="348"/>
      <c r="L19" s="348"/>
      <c r="M19" s="348"/>
      <c r="N19" s="306"/>
      <c r="O19" s="348"/>
      <c r="P19" s="348"/>
      <c r="Q19" s="348"/>
      <c r="R19" s="306"/>
      <c r="S19" s="348"/>
      <c r="T19" s="348"/>
    </row>
    <row r="20" spans="1:22" ht="15.75" customHeight="1">
      <c r="A20" s="439" t="s">
        <v>446</v>
      </c>
      <c r="B20" s="438"/>
      <c r="C20" s="438"/>
      <c r="D20" s="438"/>
      <c r="E20" s="348"/>
      <c r="F20" s="348"/>
      <c r="G20" s="348"/>
      <c r="H20" s="348"/>
      <c r="I20" s="348"/>
      <c r="J20" s="348"/>
      <c r="K20" s="348"/>
      <c r="L20" s="348"/>
      <c r="M20" s="348"/>
      <c r="N20" s="306"/>
      <c r="O20" s="348"/>
      <c r="P20" s="348"/>
      <c r="Q20" s="348"/>
      <c r="R20" s="306"/>
      <c r="S20" s="348"/>
      <c r="T20" s="348"/>
    </row>
    <row r="21" spans="1:22" ht="15.75" customHeight="1">
      <c r="A21" s="438"/>
      <c r="B21" s="438"/>
      <c r="C21" s="438"/>
      <c r="D21" s="438"/>
      <c r="E21" s="348"/>
      <c r="F21" s="348"/>
      <c r="G21" s="348"/>
      <c r="H21" s="348"/>
      <c r="I21" s="348"/>
      <c r="J21" s="348"/>
      <c r="K21" s="348"/>
      <c r="L21" s="348"/>
      <c r="M21" s="348"/>
      <c r="N21" s="306"/>
      <c r="O21" s="348"/>
      <c r="P21" s="348"/>
      <c r="Q21" s="348"/>
      <c r="R21" s="306"/>
      <c r="S21" s="348"/>
      <c r="T21" s="348"/>
    </row>
    <row r="22" spans="1:22" ht="15.75" customHeight="1">
      <c r="B22" s="438"/>
      <c r="C22" s="438"/>
      <c r="D22" s="438"/>
      <c r="E22" s="348"/>
      <c r="F22" s="348"/>
      <c r="G22" s="348"/>
      <c r="H22" s="348"/>
      <c r="I22" s="348"/>
      <c r="J22" s="348"/>
      <c r="K22" s="348"/>
      <c r="L22" s="348"/>
      <c r="M22" s="348"/>
      <c r="N22" s="306"/>
      <c r="O22" s="348"/>
      <c r="P22" s="348"/>
      <c r="Q22" s="348"/>
      <c r="R22" s="306"/>
      <c r="S22" s="348"/>
      <c r="T22" s="348"/>
    </row>
    <row r="23" spans="1:22" ht="15.75" customHeight="1">
      <c r="A23" s="438"/>
      <c r="B23" s="438"/>
      <c r="C23" s="438"/>
      <c r="D23" s="438"/>
      <c r="E23" s="348"/>
      <c r="F23" s="348"/>
      <c r="G23" s="348"/>
      <c r="H23" s="348"/>
      <c r="I23" s="348"/>
      <c r="J23" s="348"/>
      <c r="K23" s="348"/>
      <c r="L23" s="348"/>
      <c r="M23" s="348"/>
      <c r="N23" s="306"/>
      <c r="O23" s="348"/>
      <c r="P23" s="348"/>
      <c r="Q23" s="348"/>
      <c r="R23" s="306"/>
      <c r="S23" s="348"/>
      <c r="T23" s="348"/>
    </row>
    <row r="24" spans="1:22" ht="15.75" customHeight="1">
      <c r="A24" s="438"/>
      <c r="B24" s="438"/>
      <c r="C24" s="438"/>
      <c r="D24" s="438"/>
      <c r="E24" s="348"/>
      <c r="F24" s="348"/>
      <c r="G24" s="348"/>
      <c r="H24" s="348"/>
      <c r="I24" s="348"/>
      <c r="J24" s="348"/>
      <c r="K24" s="348"/>
      <c r="L24" s="348"/>
      <c r="M24" s="348"/>
      <c r="N24" s="306"/>
      <c r="O24" s="348"/>
      <c r="P24" s="348"/>
      <c r="Q24" s="348"/>
      <c r="R24" s="306"/>
      <c r="S24" s="348"/>
      <c r="T24" s="348"/>
    </row>
    <row r="25" spans="1:22" ht="15.75" customHeight="1">
      <c r="A25" s="740" t="s">
        <v>447</v>
      </c>
      <c r="B25" s="688"/>
      <c r="C25" s="688"/>
      <c r="D25" s="688"/>
      <c r="E25" s="348"/>
      <c r="F25" s="348"/>
      <c r="G25" s="348"/>
      <c r="H25" s="348"/>
      <c r="I25" s="348"/>
      <c r="J25" s="348"/>
      <c r="K25" s="348"/>
      <c r="L25" s="348"/>
      <c r="M25" s="348"/>
      <c r="N25" s="306"/>
      <c r="O25" s="348"/>
      <c r="P25" s="348"/>
      <c r="Q25" s="348"/>
      <c r="R25" s="306"/>
      <c r="S25" s="348"/>
      <c r="T25" s="348"/>
    </row>
    <row r="26" spans="1:22" ht="15.75" customHeight="1">
      <c r="A26" s="348"/>
      <c r="B26" s="434"/>
      <c r="C26" s="434"/>
      <c r="D26" s="434"/>
      <c r="E26" s="434"/>
      <c r="F26" s="434"/>
      <c r="G26" s="434"/>
      <c r="H26" s="434"/>
      <c r="I26" s="434"/>
      <c r="J26" s="348"/>
      <c r="K26" s="348"/>
      <c r="L26" s="348"/>
      <c r="M26" s="348"/>
      <c r="N26" s="348"/>
      <c r="O26" s="348"/>
      <c r="P26" s="348"/>
      <c r="Q26" s="348"/>
      <c r="R26" s="348"/>
      <c r="S26" s="348"/>
      <c r="T26" s="348"/>
    </row>
    <row r="27" spans="1:22" ht="15.75" customHeight="1">
      <c r="A27" s="731" t="s">
        <v>8</v>
      </c>
      <c r="B27" s="739" t="s">
        <v>444</v>
      </c>
      <c r="C27" s="670"/>
      <c r="D27" s="670"/>
      <c r="E27" s="670"/>
      <c r="F27" s="670"/>
      <c r="G27" s="670"/>
      <c r="H27" s="670"/>
      <c r="I27" s="670"/>
      <c r="J27" s="670"/>
      <c r="K27" s="670"/>
      <c r="L27" s="670"/>
      <c r="M27" s="670"/>
      <c r="N27" s="670"/>
      <c r="O27" s="670"/>
      <c r="P27" s="670"/>
      <c r="Q27" s="670"/>
      <c r="R27" s="670"/>
      <c r="S27" s="670"/>
      <c r="T27" s="672"/>
    </row>
    <row r="28" spans="1:22" ht="15.75" customHeight="1">
      <c r="A28" s="665"/>
      <c r="B28" s="435" t="s">
        <v>445</v>
      </c>
      <c r="C28" s="440">
        <v>38108</v>
      </c>
      <c r="D28" s="440">
        <v>38504</v>
      </c>
      <c r="E28" s="427">
        <v>38899</v>
      </c>
      <c r="F28" s="427">
        <v>39295</v>
      </c>
      <c r="G28" s="427">
        <v>39692</v>
      </c>
      <c r="H28" s="428">
        <v>40087</v>
      </c>
      <c r="I28" s="428">
        <v>40483</v>
      </c>
      <c r="J28" s="428">
        <v>40878</v>
      </c>
      <c r="K28" s="426" t="s">
        <v>277</v>
      </c>
      <c r="L28" s="426" t="s">
        <v>278</v>
      </c>
      <c r="M28" s="426" t="s">
        <v>210</v>
      </c>
      <c r="N28" s="426" t="s">
        <v>279</v>
      </c>
      <c r="O28" s="426" t="s">
        <v>280</v>
      </c>
      <c r="P28" s="426" t="s">
        <v>281</v>
      </c>
      <c r="Q28" s="426" t="s">
        <v>282</v>
      </c>
      <c r="R28" s="426" t="s">
        <v>283</v>
      </c>
      <c r="S28" s="426" t="s">
        <v>284</v>
      </c>
      <c r="T28" s="426" t="s">
        <v>285</v>
      </c>
    </row>
    <row r="29" spans="1:22" ht="15.75" customHeight="1">
      <c r="A29" s="326" t="s">
        <v>0</v>
      </c>
      <c r="B29" s="429" t="s">
        <v>445</v>
      </c>
      <c r="C29" s="441">
        <v>896</v>
      </c>
      <c r="D29" s="441">
        <v>875</v>
      </c>
      <c r="E29" s="441">
        <v>784</v>
      </c>
      <c r="F29" s="441">
        <v>778</v>
      </c>
      <c r="G29" s="441">
        <v>746</v>
      </c>
      <c r="H29" s="441">
        <v>748</v>
      </c>
      <c r="I29" s="441">
        <v>726</v>
      </c>
      <c r="J29" s="441">
        <v>760</v>
      </c>
      <c r="K29" s="441">
        <v>724</v>
      </c>
      <c r="L29" s="441">
        <v>734</v>
      </c>
      <c r="M29" s="441">
        <v>724</v>
      </c>
      <c r="N29" s="441">
        <v>744</v>
      </c>
      <c r="O29" s="442">
        <v>672</v>
      </c>
      <c r="P29" s="442">
        <v>672</v>
      </c>
      <c r="Q29" s="443">
        <v>537</v>
      </c>
      <c r="R29" s="443">
        <v>600</v>
      </c>
      <c r="S29" s="443">
        <v>648</v>
      </c>
      <c r="T29" s="443">
        <v>715</v>
      </c>
    </row>
    <row r="30" spans="1:22" ht="15.75" customHeight="1"/>
    <row r="31" spans="1:22" ht="15.75" customHeight="1">
      <c r="A31" s="56" t="s">
        <v>446</v>
      </c>
    </row>
    <row r="32" spans="1: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22" ht="15.75" customHeight="1"/>
    <row r="82" spans="2:22" ht="15.75" customHeight="1"/>
    <row r="83" spans="2:22" ht="15.75" customHeight="1"/>
    <row r="84" spans="2:22" ht="15.75" customHeight="1"/>
    <row r="85" spans="2:22" ht="15.75" customHeight="1"/>
    <row r="86" spans="2:22" ht="15.75" customHeight="1"/>
    <row r="87" spans="2:22" ht="15.75" customHeight="1"/>
    <row r="88" spans="2:22" ht="15.75" customHeight="1">
      <c r="B88" s="486"/>
      <c r="C88" s="486"/>
      <c r="D88" s="486"/>
      <c r="E88" s="486"/>
      <c r="F88" s="486"/>
      <c r="G88" s="486"/>
      <c r="H88" s="486"/>
      <c r="I88" s="486"/>
      <c r="J88" s="486"/>
      <c r="K88" s="486"/>
      <c r="L88" s="486"/>
      <c r="M88" s="486"/>
      <c r="N88" s="486"/>
      <c r="O88" s="486"/>
      <c r="P88" s="486"/>
      <c r="Q88" s="486"/>
      <c r="R88" s="486"/>
      <c r="S88" s="486"/>
      <c r="T88" s="486"/>
      <c r="U88" s="486"/>
      <c r="V88" s="486"/>
    </row>
    <row r="89" spans="2:22" ht="15.75" customHeight="1">
      <c r="B89" s="486"/>
      <c r="C89" s="486"/>
      <c r="D89" s="486"/>
      <c r="E89" s="486"/>
      <c r="F89" s="486"/>
      <c r="G89" s="486"/>
      <c r="H89" s="486"/>
      <c r="I89" s="486"/>
      <c r="J89" s="486"/>
      <c r="K89" s="486"/>
      <c r="L89" s="486"/>
      <c r="M89" s="486"/>
      <c r="N89" s="486"/>
      <c r="O89" s="486"/>
      <c r="P89" s="486"/>
      <c r="Q89" s="486"/>
      <c r="R89" s="486"/>
      <c r="S89" s="486"/>
      <c r="T89" s="486"/>
      <c r="U89" s="486"/>
      <c r="V89" s="486"/>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t="s">
        <v>528</v>
      </c>
      <c r="C91" s="486"/>
      <c r="D91" s="486">
        <f>D89+D90</f>
        <v>0</v>
      </c>
      <c r="E91" s="486">
        <f t="shared" ref="E91:V91" si="1">E89+E90</f>
        <v>0</v>
      </c>
      <c r="F91" s="486">
        <f t="shared" si="1"/>
        <v>0</v>
      </c>
      <c r="G91" s="486">
        <f t="shared" si="1"/>
        <v>0</v>
      </c>
      <c r="H91" s="486">
        <f t="shared" si="1"/>
        <v>0</v>
      </c>
      <c r="I91" s="486">
        <f t="shared" si="1"/>
        <v>0</v>
      </c>
      <c r="J91" s="486">
        <f t="shared" si="1"/>
        <v>0</v>
      </c>
      <c r="K91" s="486">
        <f t="shared" si="1"/>
        <v>0</v>
      </c>
      <c r="L91" s="486">
        <f t="shared" si="1"/>
        <v>0</v>
      </c>
      <c r="M91" s="486">
        <f t="shared" si="1"/>
        <v>0</v>
      </c>
      <c r="N91" s="486">
        <f t="shared" si="1"/>
        <v>0</v>
      </c>
      <c r="O91" s="486">
        <f t="shared" si="1"/>
        <v>0</v>
      </c>
      <c r="P91" s="486">
        <f t="shared" si="1"/>
        <v>0</v>
      </c>
      <c r="Q91" s="486">
        <f t="shared" si="1"/>
        <v>0</v>
      </c>
      <c r="R91" s="486">
        <f t="shared" si="1"/>
        <v>0</v>
      </c>
      <c r="S91" s="486">
        <f t="shared" si="1"/>
        <v>0</v>
      </c>
      <c r="T91" s="486">
        <f t="shared" si="1"/>
        <v>0</v>
      </c>
      <c r="U91" s="486">
        <f t="shared" si="1"/>
        <v>0</v>
      </c>
      <c r="V91" s="486">
        <f t="shared" si="1"/>
        <v>0</v>
      </c>
    </row>
    <row r="92" spans="2:22" ht="15.75" customHeight="1"/>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c r="B94" s="486"/>
      <c r="C94" s="486"/>
      <c r="D94" s="486"/>
      <c r="E94" s="486"/>
      <c r="F94" s="486"/>
      <c r="G94" s="486"/>
      <c r="H94" s="486"/>
      <c r="I94" s="486"/>
      <c r="J94" s="486"/>
      <c r="K94" s="486"/>
      <c r="L94" s="486"/>
      <c r="M94" s="486"/>
      <c r="N94" s="486"/>
      <c r="O94" s="486"/>
      <c r="P94" s="486"/>
      <c r="Q94" s="486"/>
      <c r="R94" s="486"/>
      <c r="S94" s="486"/>
      <c r="T94" s="486"/>
      <c r="U94" s="486"/>
      <c r="V94" s="486"/>
    </row>
    <row r="95" spans="2:22" ht="15.75" customHeight="1">
      <c r="B95" s="486"/>
      <c r="C95" s="486"/>
      <c r="D95" s="486"/>
      <c r="E95" s="486"/>
      <c r="F95" s="486"/>
      <c r="G95" s="486"/>
      <c r="H95" s="486"/>
      <c r="I95" s="486"/>
      <c r="J95" s="486"/>
      <c r="K95" s="486"/>
      <c r="L95" s="486"/>
      <c r="M95" s="486"/>
      <c r="N95" s="486"/>
      <c r="O95" s="486"/>
      <c r="P95" s="486"/>
      <c r="Q95" s="486"/>
      <c r="R95" s="486"/>
      <c r="S95" s="486"/>
      <c r="T95" s="486"/>
      <c r="U95" s="486"/>
      <c r="V95" s="486"/>
    </row>
    <row r="96" spans="2:22" ht="15.75" customHeight="1">
      <c r="B96" s="486" t="s">
        <v>133</v>
      </c>
      <c r="C96" s="486"/>
      <c r="D96" s="486">
        <f>D94+D95</f>
        <v>0</v>
      </c>
      <c r="E96" s="486">
        <f t="shared" ref="E96:V96" si="2">E94+E95</f>
        <v>0</v>
      </c>
      <c r="F96" s="486">
        <f t="shared" si="2"/>
        <v>0</v>
      </c>
      <c r="G96" s="486">
        <f t="shared" si="2"/>
        <v>0</v>
      </c>
      <c r="H96" s="486">
        <f t="shared" si="2"/>
        <v>0</v>
      </c>
      <c r="I96" s="486">
        <f t="shared" si="2"/>
        <v>0</v>
      </c>
      <c r="J96" s="486">
        <f t="shared" si="2"/>
        <v>0</v>
      </c>
      <c r="K96" s="486">
        <f t="shared" si="2"/>
        <v>0</v>
      </c>
      <c r="L96" s="486">
        <f t="shared" si="2"/>
        <v>0</v>
      </c>
      <c r="M96" s="486">
        <f t="shared" si="2"/>
        <v>0</v>
      </c>
      <c r="N96" s="486">
        <f t="shared" si="2"/>
        <v>0</v>
      </c>
      <c r="O96" s="486">
        <f t="shared" si="2"/>
        <v>0</v>
      </c>
      <c r="P96" s="486">
        <f t="shared" si="2"/>
        <v>0</v>
      </c>
      <c r="Q96" s="486">
        <f t="shared" si="2"/>
        <v>0</v>
      </c>
      <c r="R96" s="486">
        <f t="shared" si="2"/>
        <v>0</v>
      </c>
      <c r="S96" s="486">
        <f t="shared" si="2"/>
        <v>0</v>
      </c>
      <c r="T96" s="486">
        <f t="shared" si="2"/>
        <v>0</v>
      </c>
      <c r="U96" s="486">
        <f t="shared" si="2"/>
        <v>0</v>
      </c>
      <c r="V96" s="486">
        <f t="shared" si="2"/>
        <v>0</v>
      </c>
    </row>
    <row r="97" spans="2:22" ht="15.75" customHeight="1"/>
    <row r="98" spans="2:22" ht="15.75" customHeight="1">
      <c r="B98" s="486" t="s">
        <v>529</v>
      </c>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c r="B99" s="486"/>
      <c r="C99" s="486"/>
      <c r="D99" s="486"/>
      <c r="E99" s="486"/>
      <c r="F99" s="486"/>
      <c r="G99" s="486"/>
      <c r="H99" s="486"/>
      <c r="I99" s="486"/>
      <c r="J99" s="486"/>
      <c r="K99" s="486"/>
      <c r="L99" s="486"/>
      <c r="M99" s="486"/>
      <c r="N99" s="486"/>
      <c r="O99" s="486"/>
      <c r="P99" s="486"/>
      <c r="Q99" s="486"/>
      <c r="R99" s="486"/>
      <c r="S99" s="486"/>
      <c r="T99" s="486"/>
      <c r="U99" s="486"/>
      <c r="V99" s="486"/>
    </row>
    <row r="100" spans="2:22" ht="15.75" customHeight="1">
      <c r="B100" s="486"/>
      <c r="C100" s="486"/>
      <c r="D100" s="486"/>
      <c r="E100" s="486"/>
      <c r="F100" s="486"/>
      <c r="G100" s="486"/>
      <c r="H100" s="486"/>
      <c r="I100" s="486"/>
      <c r="J100" s="486"/>
      <c r="K100" s="486"/>
      <c r="L100" s="486"/>
      <c r="M100" s="486"/>
      <c r="N100" s="486"/>
      <c r="O100" s="486"/>
      <c r="P100" s="486"/>
      <c r="Q100" s="486"/>
      <c r="R100" s="486"/>
      <c r="S100" s="486"/>
      <c r="T100" s="486"/>
      <c r="U100" s="486"/>
      <c r="V100" s="486"/>
    </row>
    <row r="101" spans="2:22" ht="15.75" customHeight="1">
      <c r="B101" s="486" t="s">
        <v>133</v>
      </c>
      <c r="C101" s="486"/>
      <c r="D101" s="486">
        <f>D99+D100</f>
        <v>0</v>
      </c>
      <c r="E101" s="486">
        <f t="shared" ref="E101:V101" si="3">E99+E100</f>
        <v>0</v>
      </c>
      <c r="F101" s="486">
        <f t="shared" si="3"/>
        <v>0</v>
      </c>
      <c r="G101" s="486">
        <f t="shared" si="3"/>
        <v>0</v>
      </c>
      <c r="H101" s="486">
        <f t="shared" si="3"/>
        <v>0</v>
      </c>
      <c r="I101" s="486">
        <f t="shared" si="3"/>
        <v>0</v>
      </c>
      <c r="J101" s="486">
        <f t="shared" si="3"/>
        <v>0</v>
      </c>
      <c r="K101" s="486">
        <f t="shared" si="3"/>
        <v>0</v>
      </c>
      <c r="L101" s="486">
        <f t="shared" si="3"/>
        <v>0</v>
      </c>
      <c r="M101" s="486">
        <f t="shared" si="3"/>
        <v>0</v>
      </c>
      <c r="N101" s="486">
        <f t="shared" si="3"/>
        <v>0</v>
      </c>
      <c r="O101" s="486">
        <f t="shared" si="3"/>
        <v>0</v>
      </c>
      <c r="P101" s="486">
        <f t="shared" si="3"/>
        <v>0</v>
      </c>
      <c r="Q101" s="486">
        <f t="shared" si="3"/>
        <v>0</v>
      </c>
      <c r="R101" s="486">
        <f t="shared" si="3"/>
        <v>0</v>
      </c>
      <c r="S101" s="486">
        <f t="shared" si="3"/>
        <v>0</v>
      </c>
      <c r="T101" s="486">
        <f t="shared" si="3"/>
        <v>0</v>
      </c>
      <c r="U101" s="486">
        <f t="shared" si="3"/>
        <v>0</v>
      </c>
      <c r="V101" s="486">
        <f t="shared" si="3"/>
        <v>0</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
    <mergeCell ref="A27:A28"/>
    <mergeCell ref="B27:T27"/>
    <mergeCell ref="A3:A4"/>
    <mergeCell ref="B3:Q3"/>
    <mergeCell ref="A14:A15"/>
    <mergeCell ref="B14:T14"/>
    <mergeCell ref="A25:D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594F0-15EC-41ED-B262-27CBC6A851AF}">
  <sheetPr>
    <tabColor theme="4" tint="0.59999389629810485"/>
    <outlinePr summaryBelow="0" summaryRight="0"/>
  </sheetPr>
  <dimension ref="B1:V999"/>
  <sheetViews>
    <sheetView topLeftCell="B81" workbookViewId="0">
      <selection activeCell="B98" sqref="B98"/>
    </sheetView>
  </sheetViews>
  <sheetFormatPr defaultColWidth="12.6640625" defaultRowHeight="15" customHeight="1"/>
  <cols>
    <col min="1" max="1" width="12.6640625" style="10" customWidth="1"/>
    <col min="2" max="2" width="68.44140625" style="10" customWidth="1"/>
    <col min="3" max="3" width="15.88671875" style="10" customWidth="1"/>
    <col min="4" max="6" width="12.6640625" style="10" customWidth="1"/>
    <col min="7" max="16384" width="12.6640625" style="10"/>
  </cols>
  <sheetData>
    <row r="1" spans="2:3" ht="15.75" customHeight="1"/>
    <row r="2" spans="2:3" ht="15.75" customHeight="1">
      <c r="B2" s="306" t="s">
        <v>448</v>
      </c>
      <c r="C2" s="348"/>
    </row>
    <row r="3" spans="2:3" ht="15.75" customHeight="1">
      <c r="B3" s="348"/>
      <c r="C3" s="306"/>
    </row>
    <row r="4" spans="2:3" ht="15.75" customHeight="1">
      <c r="B4" s="307" t="s">
        <v>238</v>
      </c>
      <c r="C4" s="308" t="s">
        <v>239</v>
      </c>
    </row>
    <row r="5" spans="2:3" ht="15.75" customHeight="1">
      <c r="B5" s="309" t="s">
        <v>240</v>
      </c>
      <c r="C5" s="310">
        <v>0.55000000000000004</v>
      </c>
    </row>
    <row r="6" spans="2:3" ht="15.75" customHeight="1">
      <c r="B6" s="309" t="s">
        <v>14</v>
      </c>
      <c r="C6" s="310">
        <v>3</v>
      </c>
    </row>
    <row r="7" spans="2:3" ht="15.75" customHeight="1">
      <c r="B7" s="309" t="s">
        <v>241</v>
      </c>
      <c r="C7" s="310">
        <v>2.5</v>
      </c>
    </row>
    <row r="8" spans="2:3" ht="15.75" customHeight="1">
      <c r="B8" s="309" t="s">
        <v>242</v>
      </c>
      <c r="C8" s="310">
        <v>9</v>
      </c>
    </row>
    <row r="9" spans="2:3" ht="15.75" customHeight="1">
      <c r="B9" s="309" t="s">
        <v>15</v>
      </c>
      <c r="C9" s="310">
        <v>1</v>
      </c>
    </row>
    <row r="10" spans="2:3" ht="15.75" customHeight="1">
      <c r="B10" s="309" t="s">
        <v>16</v>
      </c>
      <c r="C10" s="310">
        <v>2.2400000000000002</v>
      </c>
    </row>
    <row r="11" spans="2:3" ht="15.75" customHeight="1">
      <c r="B11" s="309" t="s">
        <v>17</v>
      </c>
      <c r="C11" s="310">
        <v>5</v>
      </c>
    </row>
    <row r="12" spans="2:3" ht="15.75" customHeight="1">
      <c r="B12" s="309" t="s">
        <v>18</v>
      </c>
      <c r="C12" s="310">
        <v>5.9</v>
      </c>
    </row>
    <row r="13" spans="2:3" ht="15.75" customHeight="1">
      <c r="B13" s="309" t="s">
        <v>19</v>
      </c>
      <c r="C13" s="310">
        <v>6.12</v>
      </c>
    </row>
    <row r="14" spans="2:3" ht="15.75" customHeight="1">
      <c r="B14" s="311" t="s">
        <v>20</v>
      </c>
      <c r="C14" s="312">
        <v>3.1</v>
      </c>
    </row>
    <row r="15" spans="2:3" ht="15.75" customHeight="1">
      <c r="B15" s="313" t="s">
        <v>243</v>
      </c>
      <c r="C15" s="314">
        <v>2.5</v>
      </c>
    </row>
    <row r="16" spans="2:3" ht="15.75" customHeight="1"/>
    <row r="17" spans="2:22" ht="15.75" customHeight="1">
      <c r="B17" s="315" t="s">
        <v>244</v>
      </c>
      <c r="C17" s="316" t="s">
        <v>245</v>
      </c>
      <c r="D17" s="316">
        <v>2005</v>
      </c>
      <c r="E17" s="316">
        <v>2006</v>
      </c>
      <c r="F17" s="316">
        <v>2007</v>
      </c>
      <c r="G17" s="316">
        <v>2008</v>
      </c>
      <c r="H17" s="316">
        <v>2009</v>
      </c>
      <c r="I17" s="316">
        <v>2010</v>
      </c>
      <c r="J17" s="316">
        <v>2011</v>
      </c>
      <c r="K17" s="316">
        <v>2012</v>
      </c>
      <c r="L17" s="316">
        <v>2013</v>
      </c>
      <c r="M17" s="316">
        <v>2014</v>
      </c>
      <c r="N17" s="316">
        <v>2015</v>
      </c>
      <c r="O17" s="316">
        <v>2016</v>
      </c>
      <c r="P17" s="316">
        <v>2017</v>
      </c>
      <c r="Q17" s="316">
        <v>2018</v>
      </c>
      <c r="R17" s="317">
        <v>2019</v>
      </c>
      <c r="S17" s="317">
        <v>2020</v>
      </c>
      <c r="T17" s="317">
        <v>2021</v>
      </c>
      <c r="U17" s="318">
        <v>2022</v>
      </c>
      <c r="V17" s="367">
        <v>2023</v>
      </c>
    </row>
    <row r="18" spans="2:22" ht="15.75" customHeight="1">
      <c r="B18" s="319" t="s">
        <v>449</v>
      </c>
      <c r="C18" s="320"/>
      <c r="D18" s="351"/>
      <c r="E18" s="351"/>
      <c r="F18" s="351"/>
      <c r="G18" s="351"/>
      <c r="H18" s="351"/>
      <c r="I18" s="351"/>
      <c r="J18" s="351"/>
      <c r="K18" s="351"/>
      <c r="L18" s="351"/>
      <c r="M18" s="351"/>
      <c r="N18" s="351"/>
      <c r="O18" s="326"/>
      <c r="P18" s="326"/>
      <c r="Q18" s="326"/>
      <c r="R18" s="79"/>
      <c r="S18" s="79"/>
      <c r="T18" s="79"/>
    </row>
    <row r="19" spans="2:22" ht="15.75" customHeight="1">
      <c r="B19" s="352" t="s">
        <v>0</v>
      </c>
      <c r="C19" s="320"/>
      <c r="D19" s="327">
        <f>State_production_tannery!D7</f>
        <v>4818</v>
      </c>
      <c r="E19" s="327">
        <f>State_production_tannery!E7</f>
        <v>4818</v>
      </c>
      <c r="F19" s="327">
        <f>State_production_tannery!F7</f>
        <v>4818</v>
      </c>
      <c r="G19" s="327">
        <f>State_production_tannery!G7</f>
        <v>4818</v>
      </c>
      <c r="H19" s="327">
        <f>State_production_tannery!H7</f>
        <v>4818</v>
      </c>
      <c r="I19" s="327">
        <f>State_production_tannery!I7</f>
        <v>4818</v>
      </c>
      <c r="J19" s="327">
        <f>State_production_tannery!J7</f>
        <v>4818</v>
      </c>
      <c r="K19" s="327">
        <f>State_production_tannery!K7</f>
        <v>4818</v>
      </c>
      <c r="L19" s="327">
        <f>State_production_tannery!L7</f>
        <v>4818</v>
      </c>
      <c r="M19" s="327">
        <f>State_production_tannery!M7</f>
        <v>4818</v>
      </c>
      <c r="N19" s="327">
        <f>State_production_tannery!N7</f>
        <v>4818</v>
      </c>
      <c r="O19" s="327">
        <f>State_production_tannery!O7</f>
        <v>4818</v>
      </c>
      <c r="P19" s="327">
        <f>State_production_tannery!P7</f>
        <v>4818</v>
      </c>
      <c r="Q19" s="327">
        <f>State_production_tannery!Q7</f>
        <v>4818</v>
      </c>
      <c r="R19" s="327">
        <f>State_production_tannery!R7</f>
        <v>4818</v>
      </c>
      <c r="S19" s="327">
        <f>State_production_tannery!S7</f>
        <v>4818</v>
      </c>
      <c r="T19" s="327">
        <f>State_production_tannery!T7</f>
        <v>4818</v>
      </c>
      <c r="U19" s="327">
        <f>State_production_tannery!U7</f>
        <v>4818</v>
      </c>
      <c r="V19" s="327">
        <f>State_production_tannery!V7</f>
        <v>4818</v>
      </c>
    </row>
    <row r="20" spans="2:22" ht="15.75" customHeight="1">
      <c r="B20" s="371"/>
      <c r="C20" s="361"/>
      <c r="D20" s="386"/>
      <c r="E20" s="386"/>
      <c r="F20" s="386"/>
      <c r="G20" s="386"/>
      <c r="H20" s="386"/>
      <c r="I20" s="386"/>
      <c r="J20" s="386"/>
      <c r="K20" s="386"/>
      <c r="L20" s="386"/>
      <c r="M20" s="386"/>
      <c r="N20" s="386"/>
      <c r="O20" s="386"/>
      <c r="P20" s="386"/>
      <c r="Q20" s="444"/>
      <c r="R20" s="387"/>
    </row>
    <row r="21" spans="2:22" ht="15.75" customHeight="1">
      <c r="B21" s="352" t="s">
        <v>291</v>
      </c>
      <c r="C21" s="320" t="s">
        <v>245</v>
      </c>
      <c r="D21" s="316">
        <v>2005</v>
      </c>
      <c r="E21" s="316">
        <v>2006</v>
      </c>
      <c r="F21" s="316">
        <v>2007</v>
      </c>
      <c r="G21" s="316">
        <v>2008</v>
      </c>
      <c r="H21" s="316">
        <v>2009</v>
      </c>
      <c r="I21" s="316">
        <v>2010</v>
      </c>
      <c r="J21" s="316">
        <v>2011</v>
      </c>
      <c r="K21" s="316">
        <v>2012</v>
      </c>
      <c r="L21" s="316">
        <v>2013</v>
      </c>
      <c r="M21" s="316">
        <v>2014</v>
      </c>
      <c r="N21" s="316">
        <v>2015</v>
      </c>
      <c r="O21" s="316">
        <v>2016</v>
      </c>
      <c r="P21" s="316">
        <v>2017</v>
      </c>
      <c r="Q21" s="316">
        <v>2018</v>
      </c>
      <c r="R21" s="317">
        <v>2019</v>
      </c>
      <c r="S21" s="317">
        <v>2020</v>
      </c>
      <c r="T21" s="317">
        <v>2021</v>
      </c>
      <c r="U21" s="318">
        <v>2022</v>
      </c>
      <c r="V21" s="367">
        <v>2023</v>
      </c>
    </row>
    <row r="22" spans="2:22" ht="15.75" customHeight="1">
      <c r="B22" s="352" t="s">
        <v>0</v>
      </c>
      <c r="C22" s="320"/>
      <c r="D22" s="445">
        <f t="shared" ref="D22:V22" si="0">D19/365</f>
        <v>13.2</v>
      </c>
      <c r="E22" s="445">
        <f t="shared" si="0"/>
        <v>13.2</v>
      </c>
      <c r="F22" s="445">
        <f t="shared" si="0"/>
        <v>13.2</v>
      </c>
      <c r="G22" s="445">
        <f t="shared" si="0"/>
        <v>13.2</v>
      </c>
      <c r="H22" s="445">
        <f t="shared" si="0"/>
        <v>13.2</v>
      </c>
      <c r="I22" s="445">
        <f t="shared" si="0"/>
        <v>13.2</v>
      </c>
      <c r="J22" s="445">
        <f t="shared" si="0"/>
        <v>13.2</v>
      </c>
      <c r="K22" s="445">
        <f t="shared" si="0"/>
        <v>13.2</v>
      </c>
      <c r="L22" s="445">
        <f t="shared" si="0"/>
        <v>13.2</v>
      </c>
      <c r="M22" s="445">
        <f t="shared" si="0"/>
        <v>13.2</v>
      </c>
      <c r="N22" s="445">
        <f t="shared" si="0"/>
        <v>13.2</v>
      </c>
      <c r="O22" s="445">
        <f t="shared" si="0"/>
        <v>13.2</v>
      </c>
      <c r="P22" s="445">
        <f t="shared" si="0"/>
        <v>13.2</v>
      </c>
      <c r="Q22" s="445">
        <f t="shared" si="0"/>
        <v>13.2</v>
      </c>
      <c r="R22" s="445">
        <f t="shared" si="0"/>
        <v>13.2</v>
      </c>
      <c r="S22" s="445">
        <f t="shared" si="0"/>
        <v>13.2</v>
      </c>
      <c r="T22" s="445">
        <f t="shared" si="0"/>
        <v>13.2</v>
      </c>
      <c r="U22" s="445">
        <f t="shared" si="0"/>
        <v>13.2</v>
      </c>
      <c r="V22" s="445">
        <f t="shared" si="0"/>
        <v>13.2</v>
      </c>
    </row>
    <row r="23" spans="2:22" ht="15.75" customHeight="1">
      <c r="B23" s="371"/>
      <c r="C23" s="361"/>
      <c r="D23" s="386"/>
      <c r="E23" s="386"/>
      <c r="F23" s="386"/>
      <c r="G23" s="386"/>
      <c r="H23" s="386"/>
      <c r="I23" s="386"/>
      <c r="J23" s="386"/>
      <c r="K23" s="386"/>
      <c r="L23" s="386"/>
      <c r="M23" s="386"/>
      <c r="N23" s="386"/>
      <c r="O23" s="386"/>
      <c r="P23" s="386"/>
      <c r="Q23" s="444"/>
    </row>
    <row r="24" spans="2:22" ht="15.75" customHeight="1">
      <c r="B24" s="352" t="s">
        <v>293</v>
      </c>
      <c r="C24" s="320"/>
      <c r="D24" s="446">
        <v>3.32E-2</v>
      </c>
      <c r="E24" s="445" t="s">
        <v>248</v>
      </c>
      <c r="F24" s="445">
        <f>D24*10^6</f>
        <v>33200</v>
      </c>
      <c r="G24" s="445" t="s">
        <v>249</v>
      </c>
      <c r="H24" s="386"/>
      <c r="I24" s="386"/>
      <c r="J24" s="386"/>
      <c r="K24" s="386"/>
      <c r="L24" s="386"/>
      <c r="M24" s="386"/>
      <c r="N24" s="386"/>
      <c r="O24" s="386"/>
      <c r="P24" s="386"/>
      <c r="Q24" s="444"/>
    </row>
    <row r="25" spans="2:22" ht="15.75" customHeight="1">
      <c r="B25" s="371"/>
      <c r="C25" s="361"/>
      <c r="D25" s="386"/>
      <c r="E25" s="386"/>
      <c r="F25" s="386"/>
      <c r="G25" s="386"/>
      <c r="H25" s="386"/>
      <c r="I25" s="386"/>
      <c r="J25" s="386"/>
      <c r="K25" s="386"/>
      <c r="L25" s="386"/>
      <c r="M25" s="386"/>
      <c r="N25" s="386"/>
      <c r="O25" s="386"/>
      <c r="P25" s="386"/>
      <c r="Q25" s="444"/>
    </row>
    <row r="26" spans="2:22" ht="15.75" customHeight="1">
      <c r="B26" s="352" t="s">
        <v>250</v>
      </c>
      <c r="C26" s="407">
        <f>(F24/S22)/1000</f>
        <v>2.5151515151515156</v>
      </c>
      <c r="D26" s="386"/>
      <c r="E26" s="386"/>
      <c r="F26" s="386"/>
      <c r="G26" s="386"/>
      <c r="H26" s="386"/>
      <c r="I26" s="386"/>
      <c r="J26" s="386"/>
      <c r="K26" s="386"/>
      <c r="L26" s="386"/>
      <c r="M26" s="386"/>
      <c r="N26" s="386"/>
      <c r="O26" s="386"/>
      <c r="P26" s="386"/>
      <c r="Q26" s="444"/>
    </row>
    <row r="27" spans="2:22" ht="15.75" customHeight="1">
      <c r="B27" s="371"/>
      <c r="C27" s="361"/>
      <c r="D27" s="386"/>
      <c r="E27" s="386"/>
      <c r="F27" s="386"/>
      <c r="G27" s="386"/>
      <c r="H27" s="386"/>
      <c r="I27" s="386"/>
      <c r="J27" s="386"/>
      <c r="K27" s="386"/>
      <c r="L27" s="386"/>
      <c r="M27" s="386"/>
      <c r="N27" s="386"/>
      <c r="O27" s="386"/>
      <c r="P27" s="386"/>
      <c r="Q27" s="444"/>
    </row>
    <row r="28" spans="2:22" ht="15.75" customHeight="1">
      <c r="B28" s="371"/>
      <c r="C28" s="361"/>
      <c r="D28" s="386"/>
      <c r="E28" s="386"/>
      <c r="F28" s="386"/>
      <c r="G28" s="386"/>
      <c r="H28" s="386"/>
      <c r="I28" s="386"/>
      <c r="J28" s="386"/>
      <c r="K28" s="386"/>
      <c r="L28" s="386"/>
      <c r="M28" s="386"/>
      <c r="N28" s="386"/>
      <c r="O28" s="386"/>
      <c r="P28" s="386"/>
      <c r="Q28" s="444"/>
    </row>
    <row r="29" spans="2:22" ht="15.75" customHeight="1">
      <c r="B29" s="307" t="s">
        <v>251</v>
      </c>
      <c r="C29" s="338" t="s">
        <v>252</v>
      </c>
      <c r="D29" s="338">
        <v>2005</v>
      </c>
      <c r="E29" s="338">
        <v>2006</v>
      </c>
      <c r="F29" s="338">
        <v>2007</v>
      </c>
      <c r="G29" s="338">
        <v>2008</v>
      </c>
      <c r="H29" s="338">
        <v>2009</v>
      </c>
      <c r="I29" s="338">
        <v>2010</v>
      </c>
      <c r="J29" s="338">
        <v>2011</v>
      </c>
      <c r="K29" s="338">
        <v>2012</v>
      </c>
      <c r="L29" s="338">
        <v>2013</v>
      </c>
      <c r="M29" s="338">
        <v>2014</v>
      </c>
      <c r="N29" s="338">
        <v>2015</v>
      </c>
      <c r="O29" s="338">
        <v>2016</v>
      </c>
      <c r="P29" s="338">
        <v>2017</v>
      </c>
      <c r="Q29" s="308">
        <v>2018</v>
      </c>
      <c r="R29" s="317">
        <v>2019</v>
      </c>
      <c r="S29" s="317">
        <v>2020</v>
      </c>
      <c r="T29" s="317">
        <v>2021</v>
      </c>
      <c r="U29" s="318">
        <v>2022</v>
      </c>
      <c r="V29" s="367">
        <v>2023</v>
      </c>
    </row>
    <row r="30" spans="2:22" ht="15.75" customHeight="1">
      <c r="B30" s="339" t="s">
        <v>449</v>
      </c>
      <c r="C30" s="340" t="s">
        <v>253</v>
      </c>
      <c r="D30" s="447">
        <f t="shared" ref="D30:V30" si="1">$C$26</f>
        <v>2.5151515151515156</v>
      </c>
      <c r="E30" s="447">
        <f t="shared" si="1"/>
        <v>2.5151515151515156</v>
      </c>
      <c r="F30" s="447">
        <f t="shared" si="1"/>
        <v>2.5151515151515156</v>
      </c>
      <c r="G30" s="447">
        <f t="shared" si="1"/>
        <v>2.5151515151515156</v>
      </c>
      <c r="H30" s="447">
        <f t="shared" si="1"/>
        <v>2.5151515151515156</v>
      </c>
      <c r="I30" s="447">
        <f t="shared" si="1"/>
        <v>2.5151515151515156</v>
      </c>
      <c r="J30" s="447">
        <f t="shared" si="1"/>
        <v>2.5151515151515156</v>
      </c>
      <c r="K30" s="447">
        <f t="shared" si="1"/>
        <v>2.5151515151515156</v>
      </c>
      <c r="L30" s="447">
        <f t="shared" si="1"/>
        <v>2.5151515151515156</v>
      </c>
      <c r="M30" s="447">
        <f t="shared" si="1"/>
        <v>2.5151515151515156</v>
      </c>
      <c r="N30" s="447">
        <f t="shared" si="1"/>
        <v>2.5151515151515156</v>
      </c>
      <c r="O30" s="447">
        <f t="shared" si="1"/>
        <v>2.5151515151515156</v>
      </c>
      <c r="P30" s="447">
        <f t="shared" si="1"/>
        <v>2.5151515151515156</v>
      </c>
      <c r="Q30" s="447">
        <f t="shared" si="1"/>
        <v>2.5151515151515156</v>
      </c>
      <c r="R30" s="447">
        <f t="shared" si="1"/>
        <v>2.5151515151515156</v>
      </c>
      <c r="S30" s="447">
        <f t="shared" si="1"/>
        <v>2.5151515151515156</v>
      </c>
      <c r="T30" s="447">
        <f t="shared" si="1"/>
        <v>2.5151515151515156</v>
      </c>
      <c r="U30" s="447">
        <f t="shared" si="1"/>
        <v>2.5151515151515156</v>
      </c>
      <c r="V30" s="447">
        <f t="shared" si="1"/>
        <v>2.5151515151515156</v>
      </c>
    </row>
    <row r="31" spans="2:22" ht="15.75" customHeight="1"/>
    <row r="32" spans="2:22" ht="15.75" customHeight="1">
      <c r="B32" s="315" t="s">
        <v>254</v>
      </c>
      <c r="C32" s="316" t="s">
        <v>255</v>
      </c>
      <c r="D32" s="316">
        <v>2005</v>
      </c>
      <c r="E32" s="316">
        <v>2006</v>
      </c>
      <c r="F32" s="316">
        <v>2007</v>
      </c>
      <c r="G32" s="316">
        <v>2008</v>
      </c>
      <c r="H32" s="316">
        <v>2009</v>
      </c>
      <c r="I32" s="316">
        <v>2010</v>
      </c>
      <c r="J32" s="316">
        <v>2011</v>
      </c>
      <c r="K32" s="316">
        <v>2012</v>
      </c>
      <c r="L32" s="316">
        <v>2013</v>
      </c>
      <c r="M32" s="316">
        <v>2014</v>
      </c>
      <c r="N32" s="316">
        <v>2015</v>
      </c>
      <c r="O32" s="316">
        <v>2016</v>
      </c>
      <c r="P32" s="316">
        <v>2017</v>
      </c>
      <c r="Q32" s="316">
        <v>2018</v>
      </c>
      <c r="R32" s="317">
        <v>2019</v>
      </c>
      <c r="S32" s="317">
        <v>2020</v>
      </c>
      <c r="T32" s="317">
        <v>2021</v>
      </c>
      <c r="U32" s="318">
        <v>2022</v>
      </c>
      <c r="V32" s="367">
        <v>2023</v>
      </c>
    </row>
    <row r="33" spans="2:22" ht="15.75" customHeight="1">
      <c r="B33" s="448"/>
      <c r="C33" s="326"/>
      <c r="D33" s="327">
        <f t="shared" ref="D33:V33" si="2">D19*D30*$C$14</f>
        <v>37565.80000000001</v>
      </c>
      <c r="E33" s="327">
        <f t="shared" si="2"/>
        <v>37565.80000000001</v>
      </c>
      <c r="F33" s="327">
        <f t="shared" si="2"/>
        <v>37565.80000000001</v>
      </c>
      <c r="G33" s="327">
        <f t="shared" si="2"/>
        <v>37565.80000000001</v>
      </c>
      <c r="H33" s="327">
        <f t="shared" si="2"/>
        <v>37565.80000000001</v>
      </c>
      <c r="I33" s="327">
        <f t="shared" si="2"/>
        <v>37565.80000000001</v>
      </c>
      <c r="J33" s="327">
        <f t="shared" si="2"/>
        <v>37565.80000000001</v>
      </c>
      <c r="K33" s="327">
        <f t="shared" si="2"/>
        <v>37565.80000000001</v>
      </c>
      <c r="L33" s="327">
        <f t="shared" si="2"/>
        <v>37565.80000000001</v>
      </c>
      <c r="M33" s="327">
        <f t="shared" si="2"/>
        <v>37565.80000000001</v>
      </c>
      <c r="N33" s="327">
        <f t="shared" si="2"/>
        <v>37565.80000000001</v>
      </c>
      <c r="O33" s="408">
        <f t="shared" si="2"/>
        <v>37565.80000000001</v>
      </c>
      <c r="P33" s="408">
        <f t="shared" si="2"/>
        <v>37565.80000000001</v>
      </c>
      <c r="Q33" s="408">
        <f t="shared" si="2"/>
        <v>37565.80000000001</v>
      </c>
      <c r="R33" s="408">
        <f t="shared" si="2"/>
        <v>37565.80000000001</v>
      </c>
      <c r="S33" s="408">
        <f t="shared" si="2"/>
        <v>37565.80000000001</v>
      </c>
      <c r="T33" s="408">
        <f t="shared" si="2"/>
        <v>37565.80000000001</v>
      </c>
      <c r="U33" s="408">
        <f t="shared" si="2"/>
        <v>37565.80000000001</v>
      </c>
      <c r="V33" s="408">
        <f t="shared" si="2"/>
        <v>37565.80000000001</v>
      </c>
    </row>
    <row r="34" spans="2:22" ht="15.75" customHeight="1">
      <c r="B34" s="371"/>
      <c r="C34" s="361"/>
      <c r="D34" s="341"/>
      <c r="E34" s="341"/>
      <c r="F34" s="341"/>
      <c r="G34" s="341"/>
      <c r="H34" s="341"/>
      <c r="I34" s="341"/>
      <c r="J34" s="341"/>
      <c r="K34" s="341"/>
      <c r="L34" s="341"/>
      <c r="M34" s="341"/>
      <c r="N34" s="341"/>
      <c r="O34" s="341"/>
      <c r="P34" s="341"/>
      <c r="Q34" s="341"/>
      <c r="U34" s="408"/>
    </row>
    <row r="35" spans="2:22" ht="15.75" customHeight="1">
      <c r="B35" s="307" t="s">
        <v>256</v>
      </c>
      <c r="C35" s="425" t="s">
        <v>257</v>
      </c>
    </row>
    <row r="36" spans="2:22" ht="15.75" customHeight="1">
      <c r="B36" s="328" t="s">
        <v>258</v>
      </c>
      <c r="C36" s="329">
        <v>0.1</v>
      </c>
    </row>
    <row r="37" spans="2:22" ht="15.75" customHeight="1">
      <c r="B37" s="328" t="s">
        <v>259</v>
      </c>
      <c r="C37" s="329">
        <v>0</v>
      </c>
    </row>
    <row r="38" spans="2:22" ht="15.75" customHeight="1">
      <c r="B38" s="328" t="s">
        <v>260</v>
      </c>
      <c r="C38" s="329">
        <v>0.3</v>
      </c>
    </row>
    <row r="39" spans="2:22" ht="15.75" customHeight="1">
      <c r="B39" s="328" t="s">
        <v>261</v>
      </c>
      <c r="C39" s="329">
        <v>0.8</v>
      </c>
    </row>
    <row r="40" spans="2:22" ht="15.75" customHeight="1">
      <c r="B40" s="328" t="s">
        <v>262</v>
      </c>
      <c r="C40" s="329">
        <v>0.8</v>
      </c>
    </row>
    <row r="41" spans="2:22" ht="15.75" customHeight="1">
      <c r="B41" s="328" t="s">
        <v>263</v>
      </c>
      <c r="C41" s="329">
        <v>0.2</v>
      </c>
    </row>
    <row r="42" spans="2:22" ht="15.75" customHeight="1">
      <c r="B42" s="330" t="s">
        <v>264</v>
      </c>
      <c r="C42" s="331">
        <v>0.8</v>
      </c>
    </row>
    <row r="43" spans="2:22" ht="15.75" customHeight="1"/>
    <row r="44" spans="2:22" ht="15.75" customHeight="1">
      <c r="B44" s="730" t="s">
        <v>265</v>
      </c>
      <c r="C44" s="667"/>
    </row>
    <row r="45" spans="2:22" ht="15.75" customHeight="1">
      <c r="B45" s="309" t="s">
        <v>240</v>
      </c>
      <c r="C45" s="310">
        <f>C37</f>
        <v>0</v>
      </c>
    </row>
    <row r="46" spans="2:22" ht="15.75" customHeight="1">
      <c r="B46" s="309" t="s">
        <v>14</v>
      </c>
      <c r="C46" s="310">
        <f>C38</f>
        <v>0.3</v>
      </c>
    </row>
    <row r="47" spans="2:22" ht="15.75" customHeight="1">
      <c r="B47" s="309" t="s">
        <v>241</v>
      </c>
      <c r="C47" s="310">
        <f>C42+C37</f>
        <v>0.8</v>
      </c>
    </row>
    <row r="48" spans="2:22" ht="15.75" customHeight="1">
      <c r="B48" s="309" t="s">
        <v>242</v>
      </c>
      <c r="C48" s="310">
        <f>C42+C37</f>
        <v>0.8</v>
      </c>
    </row>
    <row r="49" spans="2:3" ht="15.75" customHeight="1">
      <c r="B49" s="309" t="s">
        <v>15</v>
      </c>
      <c r="C49" s="310">
        <f>C38</f>
        <v>0.3</v>
      </c>
    </row>
    <row r="50" spans="2:3" ht="15.75" customHeight="1">
      <c r="B50" s="309" t="s">
        <v>16</v>
      </c>
      <c r="C50" s="310">
        <f>C41+C38</f>
        <v>0.5</v>
      </c>
    </row>
    <row r="51" spans="2:3" ht="15.75" customHeight="1">
      <c r="B51" s="309" t="s">
        <v>17</v>
      </c>
      <c r="C51" s="310">
        <f>C42+C37</f>
        <v>0.8</v>
      </c>
    </row>
    <row r="52" spans="2:3" ht="15.75" customHeight="1">
      <c r="B52" s="309" t="s">
        <v>18</v>
      </c>
      <c r="C52" s="310">
        <f>C42+C37</f>
        <v>0.8</v>
      </c>
    </row>
    <row r="53" spans="2:3" ht="15.75" customHeight="1">
      <c r="B53" s="309" t="s">
        <v>19</v>
      </c>
      <c r="C53" s="310">
        <f>C37</f>
        <v>0</v>
      </c>
    </row>
    <row r="54" spans="2:3" ht="15.75" customHeight="1">
      <c r="B54" s="311" t="s">
        <v>20</v>
      </c>
      <c r="C54" s="312">
        <f>C42+C37</f>
        <v>0.8</v>
      </c>
    </row>
    <row r="55" spans="2:3" ht="15.75" customHeight="1">
      <c r="B55" s="313" t="s">
        <v>21</v>
      </c>
      <c r="C55" s="314">
        <f>C38</f>
        <v>0.3</v>
      </c>
    </row>
    <row r="56" spans="2:3" ht="15.75" customHeight="1"/>
    <row r="57" spans="2:3" ht="15.75" customHeight="1">
      <c r="B57" s="307" t="s">
        <v>266</v>
      </c>
      <c r="C57" s="308" t="s">
        <v>267</v>
      </c>
    </row>
    <row r="58" spans="2:3" ht="15.75" customHeight="1">
      <c r="B58" s="313"/>
      <c r="C58" s="332">
        <v>0.25</v>
      </c>
    </row>
    <row r="59" spans="2:3" ht="15.75" customHeight="1">
      <c r="B59" s="348"/>
      <c r="C59" s="348"/>
    </row>
    <row r="60" spans="2:3" ht="15.75" customHeight="1">
      <c r="B60" s="348"/>
      <c r="C60" s="348"/>
    </row>
    <row r="61" spans="2:3" ht="15.75" customHeight="1">
      <c r="B61" s="336" t="s">
        <v>425</v>
      </c>
      <c r="C61" s="336" t="s">
        <v>75</v>
      </c>
    </row>
    <row r="62" spans="2:3" ht="15.75" customHeight="1">
      <c r="B62" s="356" t="s">
        <v>240</v>
      </c>
      <c r="C62" s="449">
        <f t="shared" ref="C62:C72" si="3">C45*$C$58</f>
        <v>0</v>
      </c>
    </row>
    <row r="63" spans="2:3" ht="15.75" customHeight="1">
      <c r="B63" s="356" t="s">
        <v>14</v>
      </c>
      <c r="C63" s="450">
        <f t="shared" si="3"/>
        <v>7.4999999999999997E-2</v>
      </c>
    </row>
    <row r="64" spans="2:3" ht="15.75" customHeight="1">
      <c r="B64" s="356" t="s">
        <v>241</v>
      </c>
      <c r="C64" s="449">
        <f t="shared" si="3"/>
        <v>0.2</v>
      </c>
    </row>
    <row r="65" spans="2:22" ht="15.75" customHeight="1">
      <c r="B65" s="356" t="s">
        <v>242</v>
      </c>
      <c r="C65" s="449">
        <f t="shared" si="3"/>
        <v>0.2</v>
      </c>
    </row>
    <row r="66" spans="2:22" ht="15.75" customHeight="1">
      <c r="B66" s="356" t="s">
        <v>15</v>
      </c>
      <c r="C66" s="450">
        <f t="shared" si="3"/>
        <v>7.4999999999999997E-2</v>
      </c>
    </row>
    <row r="67" spans="2:22" ht="15.75" customHeight="1">
      <c r="B67" s="356" t="s">
        <v>16</v>
      </c>
      <c r="C67" s="450">
        <f t="shared" si="3"/>
        <v>0.125</v>
      </c>
    </row>
    <row r="68" spans="2:22" ht="15.75" customHeight="1">
      <c r="B68" s="356" t="s">
        <v>17</v>
      </c>
      <c r="C68" s="449">
        <f t="shared" si="3"/>
        <v>0.2</v>
      </c>
    </row>
    <row r="69" spans="2:22" ht="15.75" customHeight="1">
      <c r="B69" s="356" t="s">
        <v>18</v>
      </c>
      <c r="C69" s="449">
        <f t="shared" si="3"/>
        <v>0.2</v>
      </c>
    </row>
    <row r="70" spans="2:22" ht="15.75" customHeight="1">
      <c r="B70" s="356" t="s">
        <v>19</v>
      </c>
      <c r="C70" s="449">
        <f t="shared" si="3"/>
        <v>0</v>
      </c>
    </row>
    <row r="71" spans="2:22" ht="15.75" customHeight="1">
      <c r="B71" s="451" t="s">
        <v>20</v>
      </c>
      <c r="C71" s="449">
        <f t="shared" si="3"/>
        <v>0.2</v>
      </c>
    </row>
    <row r="72" spans="2:22" ht="15.75" customHeight="1">
      <c r="B72" s="356" t="s">
        <v>21</v>
      </c>
      <c r="C72" s="450">
        <f t="shared" si="3"/>
        <v>7.4999999999999997E-2</v>
      </c>
    </row>
    <row r="73" spans="2:22" ht="15.75" customHeight="1">
      <c r="B73" s="348"/>
      <c r="C73" s="348"/>
    </row>
    <row r="74" spans="2:22" ht="15.75" customHeight="1">
      <c r="B74" s="354"/>
      <c r="C74" s="306"/>
    </row>
    <row r="75" spans="2:22" ht="15.75" customHeight="1">
      <c r="B75" s="333" t="s">
        <v>269</v>
      </c>
      <c r="C75" s="308" t="s">
        <v>270</v>
      </c>
    </row>
    <row r="76" spans="2:22" ht="15.75" customHeight="1">
      <c r="B76" s="313"/>
      <c r="C76" s="332">
        <v>0.35</v>
      </c>
    </row>
    <row r="77" spans="2:22" ht="15.75" customHeight="1"/>
    <row r="78" spans="2:22" ht="15.75" customHeight="1">
      <c r="B78" s="336" t="s">
        <v>271</v>
      </c>
      <c r="C78" s="316" t="s">
        <v>272</v>
      </c>
      <c r="D78" s="316">
        <v>2005</v>
      </c>
      <c r="E78" s="316">
        <v>2006</v>
      </c>
      <c r="F78" s="316">
        <v>2007</v>
      </c>
      <c r="G78" s="316">
        <v>2008</v>
      </c>
      <c r="H78" s="316">
        <v>2009</v>
      </c>
      <c r="I78" s="316">
        <v>2010</v>
      </c>
      <c r="J78" s="316">
        <v>2011</v>
      </c>
      <c r="K78" s="316">
        <v>2012</v>
      </c>
      <c r="L78" s="316">
        <v>2013</v>
      </c>
      <c r="M78" s="316">
        <v>2014</v>
      </c>
      <c r="N78" s="316">
        <v>2015</v>
      </c>
      <c r="O78" s="316">
        <v>2016</v>
      </c>
      <c r="P78" s="316">
        <v>2017</v>
      </c>
      <c r="Q78" s="316">
        <v>2018</v>
      </c>
      <c r="R78" s="317">
        <v>2019</v>
      </c>
      <c r="S78" s="317">
        <v>2020</v>
      </c>
      <c r="T78" s="317">
        <v>2021</v>
      </c>
      <c r="U78" s="318">
        <v>2022</v>
      </c>
      <c r="V78" s="367">
        <v>2023</v>
      </c>
    </row>
    <row r="79" spans="2:22" ht="15.75" customHeight="1">
      <c r="B79" s="448" t="s">
        <v>0</v>
      </c>
      <c r="C79" s="320"/>
      <c r="D79" s="337">
        <f t="shared" ref="D79:V79" si="4">((D33-$C$76)*$C$71)/10^3</f>
        <v>7.5130900000000027</v>
      </c>
      <c r="E79" s="337">
        <f t="shared" si="4"/>
        <v>7.5130900000000027</v>
      </c>
      <c r="F79" s="337">
        <f t="shared" si="4"/>
        <v>7.5130900000000027</v>
      </c>
      <c r="G79" s="337">
        <f t="shared" si="4"/>
        <v>7.5130900000000027</v>
      </c>
      <c r="H79" s="337">
        <f t="shared" si="4"/>
        <v>7.5130900000000027</v>
      </c>
      <c r="I79" s="337">
        <f t="shared" si="4"/>
        <v>7.5130900000000027</v>
      </c>
      <c r="J79" s="337">
        <f t="shared" si="4"/>
        <v>7.5130900000000027</v>
      </c>
      <c r="K79" s="337">
        <f t="shared" si="4"/>
        <v>7.5130900000000027</v>
      </c>
      <c r="L79" s="337">
        <f t="shared" si="4"/>
        <v>7.5130900000000027</v>
      </c>
      <c r="M79" s="337">
        <f t="shared" si="4"/>
        <v>7.5130900000000027</v>
      </c>
      <c r="N79" s="337">
        <f t="shared" si="4"/>
        <v>7.5130900000000027</v>
      </c>
      <c r="O79" s="337">
        <f t="shared" si="4"/>
        <v>7.5130900000000027</v>
      </c>
      <c r="P79" s="337">
        <f t="shared" si="4"/>
        <v>7.5130900000000027</v>
      </c>
      <c r="Q79" s="337">
        <f t="shared" si="4"/>
        <v>7.5130900000000027</v>
      </c>
      <c r="R79" s="337">
        <f t="shared" si="4"/>
        <v>7.5130900000000027</v>
      </c>
      <c r="S79" s="337">
        <f t="shared" si="4"/>
        <v>7.5130900000000027</v>
      </c>
      <c r="T79" s="337">
        <f t="shared" si="4"/>
        <v>7.5130900000000027</v>
      </c>
      <c r="U79" s="337">
        <f t="shared" si="4"/>
        <v>7.5130900000000027</v>
      </c>
      <c r="V79" s="337">
        <f t="shared" si="4"/>
        <v>7.5130900000000027</v>
      </c>
    </row>
    <row r="80" spans="2:22" ht="15.75" customHeight="1">
      <c r="B80" s="371"/>
      <c r="C80" s="361"/>
      <c r="D80" s="371"/>
      <c r="E80" s="371"/>
      <c r="F80" s="371"/>
      <c r="G80" s="371"/>
      <c r="H80" s="371"/>
      <c r="I80" s="371"/>
      <c r="J80" s="371"/>
      <c r="K80" s="371"/>
      <c r="L80" s="371"/>
      <c r="M80" s="371"/>
      <c r="N80" s="371"/>
      <c r="O80" s="371"/>
      <c r="P80" s="371"/>
      <c r="Q80" s="371"/>
    </row>
    <row r="81" spans="2:22" ht="15.75" customHeight="1">
      <c r="B81" s="315" t="s">
        <v>273</v>
      </c>
      <c r="C81" s="316" t="s">
        <v>274</v>
      </c>
      <c r="D81" s="316">
        <v>2005</v>
      </c>
      <c r="E81" s="316">
        <v>2006</v>
      </c>
      <c r="F81" s="316">
        <v>2007</v>
      </c>
      <c r="G81" s="316">
        <v>2008</v>
      </c>
      <c r="H81" s="316">
        <v>2009</v>
      </c>
      <c r="I81" s="316">
        <v>2010</v>
      </c>
      <c r="J81" s="316">
        <v>2011</v>
      </c>
      <c r="K81" s="316">
        <v>2012</v>
      </c>
      <c r="L81" s="316">
        <v>2013</v>
      </c>
      <c r="M81" s="316">
        <v>2014</v>
      </c>
      <c r="N81" s="316">
        <v>2015</v>
      </c>
      <c r="O81" s="316">
        <v>2016</v>
      </c>
      <c r="P81" s="316">
        <v>2017</v>
      </c>
      <c r="Q81" s="316">
        <v>2018</v>
      </c>
      <c r="R81" s="317">
        <v>2019</v>
      </c>
      <c r="S81" s="317">
        <v>2020</v>
      </c>
      <c r="T81" s="317">
        <v>2021</v>
      </c>
      <c r="U81" s="318">
        <v>2022</v>
      </c>
      <c r="V81" s="367">
        <v>2023</v>
      </c>
    </row>
    <row r="82" spans="2:22" ht="15.75" customHeight="1">
      <c r="B82" s="319" t="s">
        <v>449</v>
      </c>
      <c r="C82" s="320" t="s">
        <v>253</v>
      </c>
      <c r="D82" s="326">
        <v>0</v>
      </c>
      <c r="E82" s="326">
        <v>0</v>
      </c>
      <c r="F82" s="320">
        <v>0</v>
      </c>
      <c r="G82" s="320">
        <v>0</v>
      </c>
      <c r="H82" s="320">
        <v>0</v>
      </c>
      <c r="I82" s="320">
        <v>0</v>
      </c>
      <c r="J82" s="320">
        <v>0</v>
      </c>
      <c r="K82" s="320">
        <v>0</v>
      </c>
      <c r="L82" s="320">
        <v>0</v>
      </c>
      <c r="M82" s="320">
        <v>0</v>
      </c>
      <c r="N82" s="320">
        <v>0</v>
      </c>
      <c r="O82" s="320">
        <v>0</v>
      </c>
      <c r="P82" s="320">
        <v>0</v>
      </c>
      <c r="Q82" s="320">
        <v>0</v>
      </c>
      <c r="R82" s="79">
        <v>0</v>
      </c>
      <c r="S82" s="79">
        <v>0</v>
      </c>
      <c r="T82" s="79">
        <v>0</v>
      </c>
      <c r="U82" s="79">
        <v>0</v>
      </c>
      <c r="V82" s="79">
        <v>0</v>
      </c>
    </row>
    <row r="83" spans="2:22" ht="15.75" customHeight="1"/>
    <row r="84" spans="2:22" ht="15.75" customHeight="1">
      <c r="B84" s="315" t="s">
        <v>275</v>
      </c>
      <c r="C84" s="316" t="s">
        <v>272</v>
      </c>
      <c r="D84" s="316">
        <v>2005</v>
      </c>
      <c r="E84" s="316">
        <v>2006</v>
      </c>
      <c r="F84" s="316">
        <v>2007</v>
      </c>
      <c r="G84" s="316">
        <v>2008</v>
      </c>
      <c r="H84" s="316">
        <v>2009</v>
      </c>
      <c r="I84" s="316">
        <v>2010</v>
      </c>
      <c r="J84" s="316">
        <v>2011</v>
      </c>
      <c r="K84" s="316">
        <v>2012</v>
      </c>
      <c r="L84" s="316">
        <v>2013</v>
      </c>
      <c r="M84" s="316">
        <v>2014</v>
      </c>
      <c r="N84" s="316">
        <v>2015</v>
      </c>
      <c r="O84" s="316">
        <v>2016</v>
      </c>
      <c r="P84" s="316">
        <v>2017</v>
      </c>
      <c r="Q84" s="316">
        <v>2018</v>
      </c>
      <c r="R84" s="317">
        <v>2019</v>
      </c>
      <c r="S84" s="317">
        <v>2020</v>
      </c>
      <c r="T84" s="317">
        <v>2021</v>
      </c>
      <c r="U84" s="318">
        <v>2022</v>
      </c>
      <c r="V84" s="367">
        <v>2023</v>
      </c>
    </row>
    <row r="85" spans="2:22" ht="15.75" customHeight="1">
      <c r="B85" s="448" t="s">
        <v>0</v>
      </c>
      <c r="C85" s="326"/>
      <c r="D85" s="424">
        <f t="shared" ref="D85:V85" si="5">D79*(1-D82)</f>
        <v>7.5130900000000027</v>
      </c>
      <c r="E85" s="424">
        <f t="shared" si="5"/>
        <v>7.5130900000000027</v>
      </c>
      <c r="F85" s="424">
        <f t="shared" si="5"/>
        <v>7.5130900000000027</v>
      </c>
      <c r="G85" s="424">
        <f t="shared" si="5"/>
        <v>7.5130900000000027</v>
      </c>
      <c r="H85" s="424">
        <f t="shared" si="5"/>
        <v>7.5130900000000027</v>
      </c>
      <c r="I85" s="424">
        <f t="shared" si="5"/>
        <v>7.5130900000000027</v>
      </c>
      <c r="J85" s="424">
        <f t="shared" si="5"/>
        <v>7.5130900000000027</v>
      </c>
      <c r="K85" s="424">
        <f t="shared" si="5"/>
        <v>7.5130900000000027</v>
      </c>
      <c r="L85" s="424">
        <f t="shared" si="5"/>
        <v>7.5130900000000027</v>
      </c>
      <c r="M85" s="424">
        <f t="shared" si="5"/>
        <v>7.5130900000000027</v>
      </c>
      <c r="N85" s="424">
        <f t="shared" si="5"/>
        <v>7.5130900000000027</v>
      </c>
      <c r="O85" s="424">
        <f t="shared" si="5"/>
        <v>7.5130900000000027</v>
      </c>
      <c r="P85" s="424">
        <f t="shared" si="5"/>
        <v>7.5130900000000027</v>
      </c>
      <c r="Q85" s="424">
        <f t="shared" si="5"/>
        <v>7.5130900000000027</v>
      </c>
      <c r="R85" s="424">
        <f t="shared" si="5"/>
        <v>7.5130900000000027</v>
      </c>
      <c r="S85" s="424">
        <f t="shared" si="5"/>
        <v>7.5130900000000027</v>
      </c>
      <c r="T85" s="424">
        <f t="shared" si="5"/>
        <v>7.5130900000000027</v>
      </c>
      <c r="U85" s="424">
        <f t="shared" si="5"/>
        <v>7.5130900000000027</v>
      </c>
      <c r="V85" s="424">
        <f t="shared" si="5"/>
        <v>7.5130900000000027</v>
      </c>
    </row>
    <row r="86" spans="2:22" ht="15.75" customHeight="1">
      <c r="B86" s="376"/>
      <c r="C86" s="361"/>
      <c r="D86" s="371"/>
      <c r="E86" s="371"/>
      <c r="F86" s="371"/>
      <c r="G86" s="371"/>
      <c r="H86" s="371"/>
      <c r="I86" s="371"/>
      <c r="J86" s="371"/>
      <c r="K86" s="371"/>
      <c r="L86" s="371"/>
      <c r="M86" s="371"/>
      <c r="N86" s="371"/>
      <c r="O86" s="371"/>
      <c r="P86" s="371"/>
      <c r="Q86" s="374"/>
    </row>
    <row r="87" spans="2:22" ht="15.75" customHeight="1">
      <c r="B87" s="315" t="s">
        <v>450</v>
      </c>
      <c r="C87" s="316" t="s">
        <v>272</v>
      </c>
      <c r="D87" s="316">
        <v>2005</v>
      </c>
      <c r="E87" s="316">
        <v>2006</v>
      </c>
      <c r="F87" s="316">
        <v>2007</v>
      </c>
      <c r="G87" s="316">
        <v>2008</v>
      </c>
      <c r="H87" s="316">
        <v>2009</v>
      </c>
      <c r="I87" s="316">
        <v>2010</v>
      </c>
      <c r="J87" s="316">
        <v>2011</v>
      </c>
      <c r="K87" s="316">
        <v>2012</v>
      </c>
      <c r="L87" s="316">
        <v>2013</v>
      </c>
      <c r="M87" s="316">
        <v>2014</v>
      </c>
      <c r="N87" s="316">
        <v>2015</v>
      </c>
      <c r="O87" s="316">
        <v>2016</v>
      </c>
      <c r="P87" s="316">
        <v>2017</v>
      </c>
      <c r="Q87" s="316">
        <v>2018</v>
      </c>
      <c r="R87" s="317">
        <v>2019</v>
      </c>
      <c r="S87" s="317">
        <v>2020</v>
      </c>
      <c r="T87" s="317">
        <v>2021</v>
      </c>
      <c r="U87" s="318">
        <v>2022</v>
      </c>
      <c r="V87" s="367">
        <v>2023</v>
      </c>
    </row>
    <row r="88" spans="2:22" ht="15.75" customHeight="1">
      <c r="B88" s="482" t="s">
        <v>0</v>
      </c>
      <c r="C88" s="481"/>
      <c r="D88" s="492">
        <f t="shared" ref="D88:V88" si="6">D85*21</f>
        <v>157.77489000000006</v>
      </c>
      <c r="E88" s="492">
        <f t="shared" si="6"/>
        <v>157.77489000000006</v>
      </c>
      <c r="F88" s="492">
        <f t="shared" si="6"/>
        <v>157.77489000000006</v>
      </c>
      <c r="G88" s="492">
        <f t="shared" si="6"/>
        <v>157.77489000000006</v>
      </c>
      <c r="H88" s="492">
        <f t="shared" si="6"/>
        <v>157.77489000000006</v>
      </c>
      <c r="I88" s="492">
        <f t="shared" si="6"/>
        <v>157.77489000000006</v>
      </c>
      <c r="J88" s="492">
        <f t="shared" si="6"/>
        <v>157.77489000000006</v>
      </c>
      <c r="K88" s="492">
        <f t="shared" si="6"/>
        <v>157.77489000000006</v>
      </c>
      <c r="L88" s="492">
        <f t="shared" si="6"/>
        <v>157.77489000000006</v>
      </c>
      <c r="M88" s="492">
        <f t="shared" si="6"/>
        <v>157.77489000000006</v>
      </c>
      <c r="N88" s="492">
        <f t="shared" si="6"/>
        <v>157.77489000000006</v>
      </c>
      <c r="O88" s="492">
        <f t="shared" si="6"/>
        <v>157.77489000000006</v>
      </c>
      <c r="P88" s="492">
        <f t="shared" si="6"/>
        <v>157.77489000000006</v>
      </c>
      <c r="Q88" s="492">
        <f t="shared" si="6"/>
        <v>157.77489000000006</v>
      </c>
      <c r="R88" s="492">
        <f t="shared" si="6"/>
        <v>157.77489000000006</v>
      </c>
      <c r="S88" s="492">
        <f t="shared" si="6"/>
        <v>157.77489000000006</v>
      </c>
      <c r="T88" s="492">
        <f t="shared" si="6"/>
        <v>157.77489000000006</v>
      </c>
      <c r="U88" s="492">
        <f t="shared" si="6"/>
        <v>157.77489000000006</v>
      </c>
      <c r="V88" s="492">
        <f t="shared" si="6"/>
        <v>157.77489000000006</v>
      </c>
    </row>
    <row r="89" spans="2:22" ht="15.75" customHeight="1">
      <c r="B89" s="482"/>
      <c r="C89" s="481"/>
      <c r="D89" s="482"/>
      <c r="E89" s="482"/>
      <c r="F89" s="482"/>
      <c r="G89" s="482"/>
      <c r="H89" s="482"/>
      <c r="I89" s="482"/>
      <c r="J89" s="482"/>
      <c r="K89" s="482"/>
      <c r="L89" s="482"/>
      <c r="M89" s="482"/>
      <c r="N89" s="482"/>
      <c r="O89" s="482"/>
      <c r="P89" s="482"/>
      <c r="Q89" s="482"/>
      <c r="R89" s="486"/>
      <c r="S89" s="486"/>
      <c r="T89" s="486"/>
      <c r="U89" s="486"/>
      <c r="V89" s="486"/>
    </row>
    <row r="90" spans="2:22" ht="15.75" customHeight="1">
      <c r="B90" s="480" t="s">
        <v>451</v>
      </c>
      <c r="C90" s="480" t="s">
        <v>272</v>
      </c>
      <c r="D90" s="480">
        <v>2005</v>
      </c>
      <c r="E90" s="480">
        <v>2006</v>
      </c>
      <c r="F90" s="480">
        <v>2007</v>
      </c>
      <c r="G90" s="480">
        <v>2008</v>
      </c>
      <c r="H90" s="480">
        <v>2009</v>
      </c>
      <c r="I90" s="480">
        <v>2010</v>
      </c>
      <c r="J90" s="480">
        <v>2011</v>
      </c>
      <c r="K90" s="480">
        <v>2012</v>
      </c>
      <c r="L90" s="480">
        <v>2013</v>
      </c>
      <c r="M90" s="480">
        <v>2014</v>
      </c>
      <c r="N90" s="480">
        <v>2015</v>
      </c>
      <c r="O90" s="480">
        <v>2016</v>
      </c>
      <c r="P90" s="480">
        <v>2017</v>
      </c>
      <c r="Q90" s="480">
        <v>2018</v>
      </c>
      <c r="R90" s="483">
        <v>2019</v>
      </c>
      <c r="S90" s="483">
        <v>2020</v>
      </c>
      <c r="T90" s="483">
        <v>2021</v>
      </c>
      <c r="U90" s="484">
        <v>2022</v>
      </c>
      <c r="V90" s="484">
        <v>2023</v>
      </c>
    </row>
    <row r="91" spans="2:22" ht="15.75" customHeight="1">
      <c r="B91" s="480" t="s">
        <v>528</v>
      </c>
      <c r="C91" s="480"/>
      <c r="D91" s="531">
        <f>D85*27.9</f>
        <v>209.61521100000007</v>
      </c>
      <c r="E91" s="531">
        <f t="shared" ref="E91:U91" si="7">E85*27.9</f>
        <v>209.61521100000007</v>
      </c>
      <c r="F91" s="531">
        <f t="shared" si="7"/>
        <v>209.61521100000007</v>
      </c>
      <c r="G91" s="531">
        <f t="shared" si="7"/>
        <v>209.61521100000007</v>
      </c>
      <c r="H91" s="531">
        <f t="shared" si="7"/>
        <v>209.61521100000007</v>
      </c>
      <c r="I91" s="531">
        <f t="shared" si="7"/>
        <v>209.61521100000007</v>
      </c>
      <c r="J91" s="531">
        <f t="shared" si="7"/>
        <v>209.61521100000007</v>
      </c>
      <c r="K91" s="531">
        <f t="shared" si="7"/>
        <v>209.61521100000007</v>
      </c>
      <c r="L91" s="531">
        <f t="shared" si="7"/>
        <v>209.61521100000007</v>
      </c>
      <c r="M91" s="531">
        <f t="shared" si="7"/>
        <v>209.61521100000007</v>
      </c>
      <c r="N91" s="531">
        <f t="shared" si="7"/>
        <v>209.61521100000007</v>
      </c>
      <c r="O91" s="531">
        <f t="shared" si="7"/>
        <v>209.61521100000007</v>
      </c>
      <c r="P91" s="531">
        <f t="shared" si="7"/>
        <v>209.61521100000007</v>
      </c>
      <c r="Q91" s="531">
        <f t="shared" si="7"/>
        <v>209.61521100000007</v>
      </c>
      <c r="R91" s="531">
        <f t="shared" si="7"/>
        <v>209.61521100000007</v>
      </c>
      <c r="S91" s="531">
        <f t="shared" si="7"/>
        <v>209.61521100000007</v>
      </c>
      <c r="T91" s="531">
        <f t="shared" si="7"/>
        <v>209.61521100000007</v>
      </c>
      <c r="U91" s="531">
        <f t="shared" si="7"/>
        <v>209.61521100000007</v>
      </c>
      <c r="V91" s="531">
        <f>V85*27.9</f>
        <v>209.61521100000007</v>
      </c>
    </row>
    <row r="92" spans="2:22" ht="15.75" customHeight="1">
      <c r="D92" s="56"/>
      <c r="E92" s="56"/>
      <c r="F92" s="56"/>
      <c r="G92" s="56"/>
      <c r="H92" s="56"/>
      <c r="I92" s="56"/>
      <c r="J92" s="56"/>
      <c r="K92" s="56"/>
      <c r="L92" s="56"/>
      <c r="M92" s="56"/>
      <c r="N92" s="56"/>
      <c r="O92" s="56"/>
      <c r="P92" s="56"/>
      <c r="Q92" s="56"/>
      <c r="R92" s="56"/>
      <c r="S92" s="56"/>
      <c r="T92" s="56"/>
      <c r="U92" s="56"/>
      <c r="V92" s="56"/>
    </row>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row r="95" spans="2:22" ht="15.75" customHeight="1">
      <c r="B95" s="532" t="s">
        <v>530</v>
      </c>
      <c r="C95" s="480" t="s">
        <v>272</v>
      </c>
      <c r="D95" s="480">
        <v>2005</v>
      </c>
      <c r="E95" s="480">
        <v>2006</v>
      </c>
      <c r="F95" s="480">
        <v>2007</v>
      </c>
      <c r="G95" s="480">
        <v>2008</v>
      </c>
      <c r="H95" s="480">
        <v>2009</v>
      </c>
      <c r="I95" s="480">
        <v>2010</v>
      </c>
      <c r="J95" s="480">
        <v>2011</v>
      </c>
      <c r="K95" s="480">
        <v>2012</v>
      </c>
      <c r="L95" s="480">
        <v>2013</v>
      </c>
      <c r="M95" s="480">
        <v>2014</v>
      </c>
      <c r="N95" s="480">
        <v>2015</v>
      </c>
      <c r="O95" s="480">
        <v>2016</v>
      </c>
      <c r="P95" s="480">
        <v>2017</v>
      </c>
      <c r="Q95" s="480">
        <v>2018</v>
      </c>
      <c r="R95" s="483">
        <v>2019</v>
      </c>
      <c r="S95" s="483">
        <v>2020</v>
      </c>
      <c r="T95" s="483">
        <v>2021</v>
      </c>
      <c r="U95" s="484">
        <v>2022</v>
      </c>
      <c r="V95" s="484">
        <v>2023</v>
      </c>
    </row>
    <row r="96" spans="2:22" ht="15.75" customHeight="1">
      <c r="B96" s="486"/>
      <c r="C96" s="486"/>
      <c r="D96" s="491">
        <f t="shared" ref="D96:V96" si="8">D85*5.38</f>
        <v>40.420424200000014</v>
      </c>
      <c r="E96" s="491">
        <f t="shared" si="8"/>
        <v>40.420424200000014</v>
      </c>
      <c r="F96" s="491">
        <f t="shared" si="8"/>
        <v>40.420424200000014</v>
      </c>
      <c r="G96" s="491">
        <f t="shared" si="8"/>
        <v>40.420424200000014</v>
      </c>
      <c r="H96" s="491">
        <f t="shared" si="8"/>
        <v>40.420424200000014</v>
      </c>
      <c r="I96" s="491">
        <f t="shared" si="8"/>
        <v>40.420424200000014</v>
      </c>
      <c r="J96" s="491">
        <f t="shared" si="8"/>
        <v>40.420424200000014</v>
      </c>
      <c r="K96" s="491">
        <f t="shared" si="8"/>
        <v>40.420424200000014</v>
      </c>
      <c r="L96" s="491">
        <f t="shared" si="8"/>
        <v>40.420424200000014</v>
      </c>
      <c r="M96" s="491">
        <f t="shared" si="8"/>
        <v>40.420424200000014</v>
      </c>
      <c r="N96" s="491">
        <f t="shared" si="8"/>
        <v>40.420424200000014</v>
      </c>
      <c r="O96" s="491">
        <f t="shared" si="8"/>
        <v>40.420424200000014</v>
      </c>
      <c r="P96" s="491">
        <f t="shared" si="8"/>
        <v>40.420424200000014</v>
      </c>
      <c r="Q96" s="491">
        <f t="shared" si="8"/>
        <v>40.420424200000014</v>
      </c>
      <c r="R96" s="491">
        <f t="shared" si="8"/>
        <v>40.420424200000014</v>
      </c>
      <c r="S96" s="491">
        <f t="shared" si="8"/>
        <v>40.420424200000014</v>
      </c>
      <c r="T96" s="491">
        <f t="shared" si="8"/>
        <v>40.420424200000014</v>
      </c>
      <c r="U96" s="491">
        <f t="shared" si="8"/>
        <v>40.420424200000014</v>
      </c>
      <c r="V96" s="491">
        <f t="shared" si="8"/>
        <v>40.420424200000014</v>
      </c>
    </row>
    <row r="97" spans="2:22" ht="15.75" customHeight="1">
      <c r="B97" s="486"/>
      <c r="C97" s="486"/>
      <c r="D97" s="486"/>
      <c r="E97" s="486"/>
      <c r="F97" s="486"/>
      <c r="G97" s="486"/>
      <c r="H97" s="486"/>
      <c r="I97" s="486"/>
      <c r="J97" s="486"/>
      <c r="K97" s="486"/>
      <c r="L97" s="486"/>
      <c r="M97" s="486"/>
      <c r="N97" s="486"/>
      <c r="O97" s="486"/>
      <c r="P97" s="486"/>
      <c r="Q97" s="486"/>
      <c r="R97" s="486"/>
      <c r="S97" s="486"/>
      <c r="T97" s="486"/>
      <c r="U97" s="486"/>
      <c r="V97" s="486"/>
    </row>
    <row r="98" spans="2:22" ht="15.75" customHeight="1"/>
    <row r="99" spans="2:22" ht="15.75" customHeight="1"/>
    <row r="100" spans="2:22" ht="15.75" customHeight="1"/>
    <row r="101" spans="2:22" ht="15.75" customHeight="1"/>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B44:C4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04E34-252F-4B4B-B0B4-311C6B1BE057}">
  <sheetPr>
    <tabColor theme="4" tint="0.59999389629810485"/>
    <outlinePr summaryBelow="0" summaryRight="0"/>
  </sheetPr>
  <dimension ref="B1:V1003"/>
  <sheetViews>
    <sheetView workbookViewId="0">
      <selection activeCell="B103" sqref="B103:B105"/>
    </sheetView>
  </sheetViews>
  <sheetFormatPr defaultColWidth="12.6640625" defaultRowHeight="15" customHeight="1"/>
  <cols>
    <col min="1" max="1" width="12.6640625" style="10" customWidth="1"/>
    <col min="2" max="2" width="24.109375" style="10" customWidth="1"/>
    <col min="3" max="3" width="20.21875" style="10" customWidth="1"/>
    <col min="4" max="4" width="17.33203125" style="10" customWidth="1"/>
    <col min="5" max="5" width="39.21875" style="10" customWidth="1"/>
    <col min="6" max="6" width="12.6640625" style="10" customWidth="1"/>
    <col min="7" max="16384" width="12.6640625" style="10"/>
  </cols>
  <sheetData>
    <row r="1" spans="2:22" ht="15.75" customHeight="1"/>
    <row r="2" spans="2:22" ht="15.75" customHeight="1">
      <c r="B2" s="738" t="s">
        <v>452</v>
      </c>
      <c r="C2" s="688"/>
      <c r="D2" s="688"/>
      <c r="E2" s="348"/>
      <c r="F2" s="348"/>
      <c r="G2" s="348"/>
      <c r="H2" s="348"/>
      <c r="I2" s="348"/>
      <c r="J2" s="348"/>
      <c r="K2" s="348"/>
      <c r="L2" s="348"/>
      <c r="M2" s="348"/>
      <c r="N2" s="348"/>
      <c r="O2" s="348"/>
      <c r="P2" s="348"/>
      <c r="Q2" s="348"/>
    </row>
    <row r="3" spans="2:22" ht="15.75" customHeight="1">
      <c r="B3" s="348"/>
      <c r="C3" s="348"/>
      <c r="D3" s="348"/>
      <c r="E3" s="348"/>
      <c r="F3" s="348"/>
      <c r="G3" s="348"/>
      <c r="H3" s="348"/>
      <c r="I3" s="348"/>
      <c r="J3" s="348"/>
      <c r="K3" s="348"/>
      <c r="L3" s="348"/>
      <c r="M3" s="348"/>
      <c r="N3" s="348"/>
      <c r="O3" s="348"/>
      <c r="P3" s="348"/>
      <c r="Q3" s="348"/>
    </row>
    <row r="4" spans="2:22" ht="15.75" customHeight="1">
      <c r="B4" s="734" t="s">
        <v>8</v>
      </c>
      <c r="C4" s="732" t="s">
        <v>244</v>
      </c>
      <c r="D4" s="670"/>
      <c r="E4" s="670"/>
      <c r="F4" s="670"/>
      <c r="G4" s="670"/>
      <c r="H4" s="670"/>
      <c r="I4" s="670"/>
      <c r="J4" s="670"/>
      <c r="K4" s="670"/>
      <c r="L4" s="670"/>
      <c r="M4" s="670"/>
      <c r="N4" s="670"/>
      <c r="O4" s="670"/>
      <c r="P4" s="670"/>
      <c r="Q4" s="670"/>
      <c r="R4" s="670"/>
      <c r="S4" s="670"/>
      <c r="T4" s="672"/>
    </row>
    <row r="5" spans="2:22" ht="15.75" customHeight="1">
      <c r="B5" s="665"/>
      <c r="C5" s="316" t="s">
        <v>276</v>
      </c>
      <c r="D5" s="316">
        <v>2005</v>
      </c>
      <c r="E5" s="316">
        <v>2006</v>
      </c>
      <c r="F5" s="316">
        <v>2007</v>
      </c>
      <c r="G5" s="316">
        <v>2008</v>
      </c>
      <c r="H5" s="316">
        <v>2009</v>
      </c>
      <c r="I5" s="316">
        <v>2010</v>
      </c>
      <c r="J5" s="316">
        <v>2011</v>
      </c>
      <c r="K5" s="316">
        <v>2012</v>
      </c>
      <c r="L5" s="316">
        <v>2013</v>
      </c>
      <c r="M5" s="316">
        <v>2014</v>
      </c>
      <c r="N5" s="316">
        <v>2015</v>
      </c>
      <c r="O5" s="316">
        <v>2016</v>
      </c>
      <c r="P5" s="316">
        <v>2017</v>
      </c>
      <c r="Q5" s="316">
        <v>2018</v>
      </c>
      <c r="R5" s="317">
        <v>2019</v>
      </c>
      <c r="S5" s="317">
        <v>2020</v>
      </c>
      <c r="T5" s="317">
        <v>2021</v>
      </c>
      <c r="U5" s="318">
        <v>2022</v>
      </c>
      <c r="V5" s="367">
        <v>2023</v>
      </c>
    </row>
    <row r="6" spans="2:22" ht="15.75" customHeight="1">
      <c r="B6" s="370"/>
      <c r="C6" s="321"/>
      <c r="D6" s="321"/>
      <c r="E6" s="321"/>
      <c r="F6" s="321"/>
      <c r="G6" s="321"/>
      <c r="H6" s="321"/>
      <c r="I6" s="321"/>
      <c r="J6" s="321"/>
      <c r="K6" s="321"/>
      <c r="L6" s="319"/>
      <c r="M6" s="326"/>
      <c r="N6" s="326"/>
      <c r="O6" s="326"/>
      <c r="P6" s="326"/>
      <c r="Q6" s="326"/>
      <c r="R6" s="79"/>
      <c r="S6" s="79"/>
      <c r="T6" s="79"/>
    </row>
    <row r="7" spans="2:22" ht="15.75" customHeight="1">
      <c r="B7" s="326" t="s">
        <v>0</v>
      </c>
      <c r="C7" s="326" t="s">
        <v>272</v>
      </c>
      <c r="D7" s="452">
        <f t="shared" ref="D7:V7" si="0">$J$18</f>
        <v>4818</v>
      </c>
      <c r="E7" s="452">
        <f t="shared" si="0"/>
        <v>4818</v>
      </c>
      <c r="F7" s="452">
        <f t="shared" si="0"/>
        <v>4818</v>
      </c>
      <c r="G7" s="452">
        <f t="shared" si="0"/>
        <v>4818</v>
      </c>
      <c r="H7" s="452">
        <f t="shared" si="0"/>
        <v>4818</v>
      </c>
      <c r="I7" s="452">
        <f t="shared" si="0"/>
        <v>4818</v>
      </c>
      <c r="J7" s="452">
        <f t="shared" si="0"/>
        <v>4818</v>
      </c>
      <c r="K7" s="452">
        <f t="shared" si="0"/>
        <v>4818</v>
      </c>
      <c r="L7" s="452">
        <f t="shared" si="0"/>
        <v>4818</v>
      </c>
      <c r="M7" s="452">
        <f t="shared" si="0"/>
        <v>4818</v>
      </c>
      <c r="N7" s="452">
        <f t="shared" si="0"/>
        <v>4818</v>
      </c>
      <c r="O7" s="452">
        <f t="shared" si="0"/>
        <v>4818</v>
      </c>
      <c r="P7" s="452">
        <f t="shared" si="0"/>
        <v>4818</v>
      </c>
      <c r="Q7" s="452">
        <f t="shared" si="0"/>
        <v>4818</v>
      </c>
      <c r="R7" s="452">
        <f t="shared" si="0"/>
        <v>4818</v>
      </c>
      <c r="S7" s="452">
        <f t="shared" si="0"/>
        <v>4818</v>
      </c>
      <c r="T7" s="452">
        <f t="shared" si="0"/>
        <v>4818</v>
      </c>
      <c r="U7" s="452">
        <f t="shared" si="0"/>
        <v>4818</v>
      </c>
      <c r="V7" s="452">
        <f t="shared" si="0"/>
        <v>4818</v>
      </c>
    </row>
    <row r="8" spans="2:22" ht="15.75" customHeight="1">
      <c r="B8" s="341"/>
      <c r="C8" s="341"/>
      <c r="D8" s="393"/>
      <c r="E8" s="393"/>
      <c r="F8" s="393"/>
      <c r="G8" s="393"/>
      <c r="H8" s="393"/>
      <c r="I8" s="393"/>
      <c r="J8" s="393"/>
      <c r="K8" s="393"/>
      <c r="L8" s="393"/>
      <c r="M8" s="393"/>
      <c r="N8" s="393"/>
      <c r="O8" s="393"/>
      <c r="P8" s="393"/>
      <c r="Q8" s="393"/>
    </row>
    <row r="9" spans="2:22" ht="15.75" customHeight="1">
      <c r="B9" s="306"/>
      <c r="C9" s="306"/>
      <c r="D9" s="306"/>
      <c r="E9" s="306"/>
      <c r="F9" s="306"/>
      <c r="G9" s="306"/>
      <c r="H9" s="306"/>
      <c r="I9" s="348"/>
      <c r="J9" s="348"/>
      <c r="K9" s="348"/>
      <c r="L9" s="348"/>
    </row>
    <row r="10" spans="2:22" ht="15.75" customHeight="1">
      <c r="B10" s="733"/>
      <c r="C10" s="688"/>
      <c r="D10" s="348"/>
      <c r="E10" s="348"/>
      <c r="F10" s="348"/>
      <c r="G10" s="348"/>
      <c r="H10" s="348"/>
      <c r="I10" s="348"/>
      <c r="J10" s="348"/>
      <c r="K10" s="348"/>
      <c r="L10" s="348"/>
    </row>
    <row r="11" spans="2:22" ht="15.75" customHeight="1">
      <c r="B11" s="306"/>
      <c r="C11" s="348"/>
      <c r="D11" s="348"/>
      <c r="E11" s="348"/>
      <c r="F11" s="348"/>
      <c r="G11" s="348"/>
      <c r="H11" s="348"/>
      <c r="I11" s="348"/>
      <c r="J11" s="348"/>
      <c r="K11" s="348"/>
      <c r="L11" s="348"/>
    </row>
    <row r="12" spans="2:22" ht="15.75" customHeight="1">
      <c r="B12" s="742" t="s">
        <v>321</v>
      </c>
      <c r="C12" s="688"/>
      <c r="D12" s="453"/>
      <c r="E12" s="453"/>
      <c r="F12" s="453"/>
      <c r="G12" s="453"/>
      <c r="H12" s="453"/>
      <c r="I12" s="453"/>
      <c r="J12" s="348"/>
      <c r="K12" s="348"/>
      <c r="L12" s="348"/>
    </row>
    <row r="13" spans="2:22" ht="15.75" customHeight="1">
      <c r="B13" s="378" t="s">
        <v>322</v>
      </c>
      <c r="C13" s="379" t="s">
        <v>323</v>
      </c>
      <c r="D13" s="379" t="s">
        <v>324</v>
      </c>
      <c r="E13" s="379" t="s">
        <v>366</v>
      </c>
      <c r="F13" s="379" t="s">
        <v>367</v>
      </c>
      <c r="G13" s="379" t="s">
        <v>368</v>
      </c>
      <c r="H13" s="379" t="s">
        <v>369</v>
      </c>
      <c r="I13" s="379" t="s">
        <v>370</v>
      </c>
      <c r="J13" s="379" t="s">
        <v>453</v>
      </c>
      <c r="K13" s="379" t="s">
        <v>454</v>
      </c>
      <c r="L13" s="379" t="s">
        <v>246</v>
      </c>
    </row>
    <row r="14" spans="2:22" ht="15.75" customHeight="1">
      <c r="B14" s="380">
        <v>1</v>
      </c>
      <c r="C14" s="381" t="s">
        <v>455</v>
      </c>
      <c r="D14" s="381" t="s">
        <v>456</v>
      </c>
      <c r="E14" s="381" t="s">
        <v>457</v>
      </c>
      <c r="F14" s="381" t="s">
        <v>392</v>
      </c>
      <c r="G14" s="381" t="s">
        <v>458</v>
      </c>
      <c r="H14" s="394">
        <v>3.32E-2</v>
      </c>
      <c r="I14" s="381" t="s">
        <v>459</v>
      </c>
      <c r="J14" s="743">
        <v>13200</v>
      </c>
      <c r="K14" s="743">
        <v>13200</v>
      </c>
      <c r="L14" s="743" t="s">
        <v>460</v>
      </c>
    </row>
    <row r="15" spans="2:22" ht="15.75" customHeight="1">
      <c r="B15" s="179"/>
      <c r="C15" s="381"/>
      <c r="D15" s="381"/>
      <c r="E15" s="381"/>
      <c r="F15" s="381"/>
      <c r="G15" s="381" t="s">
        <v>133</v>
      </c>
      <c r="H15" s="385">
        <v>3.32E-2</v>
      </c>
      <c r="I15" s="381"/>
      <c r="J15" s="665"/>
      <c r="K15" s="665"/>
      <c r="L15" s="665"/>
    </row>
    <row r="16" spans="2:22" ht="15.75" customHeight="1">
      <c r="B16" s="360"/>
      <c r="C16" s="360"/>
      <c r="D16" s="360"/>
      <c r="E16" s="360"/>
      <c r="F16" s="360"/>
      <c r="G16" s="360"/>
      <c r="H16" s="360"/>
      <c r="I16" s="360"/>
      <c r="J16" s="360"/>
      <c r="K16" s="360"/>
      <c r="L16" s="360"/>
    </row>
    <row r="17" spans="2:14" ht="15.75" customHeight="1">
      <c r="B17" s="343"/>
      <c r="C17" s="343"/>
      <c r="D17" s="343"/>
      <c r="E17" s="343"/>
      <c r="J17" s="56">
        <f>J14/1000</f>
        <v>13.2</v>
      </c>
      <c r="K17" s="56" t="s">
        <v>461</v>
      </c>
    </row>
    <row r="18" spans="2:14" ht="15.75" customHeight="1">
      <c r="B18" s="343"/>
      <c r="C18" s="343"/>
      <c r="D18" s="343"/>
      <c r="E18" s="343"/>
      <c r="I18" s="56" t="s">
        <v>133</v>
      </c>
      <c r="J18" s="56">
        <f>J17*365</f>
        <v>4818</v>
      </c>
      <c r="K18" s="56" t="s">
        <v>462</v>
      </c>
    </row>
    <row r="19" spans="2:14" ht="15.75" customHeight="1">
      <c r="B19" s="343"/>
      <c r="C19" s="343"/>
      <c r="D19" s="343"/>
      <c r="E19" s="343"/>
    </row>
    <row r="20" spans="2:14" ht="15.75" customHeight="1">
      <c r="B20" s="738"/>
      <c r="C20" s="688"/>
      <c r="D20" s="688"/>
      <c r="E20" s="688"/>
    </row>
    <row r="21" spans="2:14" ht="15.75" customHeight="1">
      <c r="B21" s="348"/>
      <c r="C21" s="348"/>
      <c r="D21" s="348"/>
      <c r="E21" s="348"/>
    </row>
    <row r="22" spans="2:14" ht="15.75" customHeight="1">
      <c r="B22" s="306"/>
      <c r="C22" s="306"/>
      <c r="D22" s="306"/>
      <c r="E22" s="306"/>
    </row>
    <row r="23" spans="2:14" ht="15.75" customHeight="1">
      <c r="B23" s="341"/>
      <c r="C23" s="348"/>
      <c r="D23" s="348"/>
      <c r="E23" s="454"/>
    </row>
    <row r="24" spans="2:14" ht="15.75" customHeight="1">
      <c r="B24" s="341"/>
      <c r="C24" s="348"/>
      <c r="D24" s="348"/>
      <c r="E24" s="454"/>
    </row>
    <row r="25" spans="2:14" ht="15.75" customHeight="1">
      <c r="B25" s="341"/>
      <c r="C25" s="348"/>
      <c r="D25" s="348"/>
      <c r="E25" s="454"/>
    </row>
    <row r="26" spans="2:14" ht="15.75" customHeight="1">
      <c r="B26" s="741"/>
      <c r="C26" s="688"/>
      <c r="D26" s="688"/>
      <c r="E26" s="688"/>
      <c r="F26" s="688"/>
    </row>
    <row r="27" spans="2:14" ht="15.75" customHeight="1">
      <c r="B27" s="349"/>
      <c r="C27" s="349"/>
      <c r="D27" s="348"/>
      <c r="E27" s="348"/>
      <c r="F27" s="348"/>
      <c r="G27" s="348"/>
      <c r="H27" s="348"/>
      <c r="I27" s="348"/>
      <c r="J27" s="348"/>
      <c r="K27" s="348"/>
      <c r="L27" s="348"/>
      <c r="M27" s="348"/>
      <c r="N27" s="348"/>
    </row>
    <row r="28" spans="2:14" ht="15.75" customHeight="1">
      <c r="B28" s="343"/>
      <c r="C28" s="343"/>
      <c r="D28" s="348"/>
      <c r="E28" s="348"/>
      <c r="F28" s="348"/>
      <c r="G28" s="348"/>
      <c r="H28" s="348"/>
      <c r="I28" s="348"/>
      <c r="J28" s="348"/>
      <c r="K28" s="348"/>
      <c r="L28" s="348"/>
      <c r="M28" s="348"/>
      <c r="N28" s="348"/>
    </row>
    <row r="29" spans="2:14" ht="15.75" customHeight="1">
      <c r="B29" s="738"/>
      <c r="C29" s="688"/>
      <c r="D29" s="348"/>
      <c r="E29" s="348"/>
      <c r="F29" s="348"/>
      <c r="G29" s="348"/>
      <c r="H29" s="348"/>
      <c r="I29" s="348"/>
      <c r="J29" s="348"/>
      <c r="K29" s="348"/>
      <c r="L29" s="348"/>
      <c r="M29" s="348"/>
      <c r="N29" s="348"/>
    </row>
    <row r="30" spans="2:14" ht="15.75" customHeight="1">
      <c r="B30" s="343"/>
      <c r="C30" s="348"/>
      <c r="D30" s="348"/>
      <c r="E30" s="348"/>
      <c r="F30" s="348"/>
      <c r="G30" s="348"/>
      <c r="H30" s="348"/>
      <c r="I30" s="348"/>
      <c r="J30" s="348"/>
      <c r="K30" s="348"/>
      <c r="L30" s="348"/>
      <c r="M30" s="348"/>
      <c r="N30" s="348"/>
    </row>
    <row r="31" spans="2:14" ht="15.75" customHeight="1">
      <c r="B31" s="361"/>
      <c r="C31" s="361"/>
      <c r="D31" s="361"/>
      <c r="E31" s="361"/>
      <c r="F31" s="361"/>
      <c r="G31" s="361"/>
      <c r="H31" s="361"/>
      <c r="I31" s="361"/>
      <c r="J31" s="361"/>
      <c r="K31" s="361"/>
      <c r="L31" s="361"/>
      <c r="M31" s="361"/>
      <c r="N31" s="361"/>
    </row>
    <row r="32" spans="2:14" ht="15.75" customHeight="1">
      <c r="B32" s="348"/>
      <c r="C32" s="371"/>
      <c r="D32" s="371"/>
      <c r="E32" s="348"/>
      <c r="F32" s="348"/>
      <c r="G32" s="348"/>
      <c r="H32" s="348"/>
      <c r="I32" s="348"/>
      <c r="J32" s="348"/>
      <c r="K32" s="348"/>
      <c r="L32" s="348"/>
      <c r="M32" s="371"/>
      <c r="N32" s="454"/>
    </row>
    <row r="33" spans="2:14" ht="15.75" customHeight="1">
      <c r="B33" s="348"/>
      <c r="C33" s="364"/>
      <c r="D33" s="364"/>
      <c r="E33" s="364"/>
      <c r="F33" s="364"/>
      <c r="G33" s="364"/>
      <c r="H33" s="364"/>
      <c r="I33" s="364"/>
      <c r="J33" s="364"/>
      <c r="K33" s="364"/>
      <c r="L33" s="364"/>
      <c r="M33" s="455"/>
      <c r="N33" s="454"/>
    </row>
    <row r="34" spans="2:14" ht="15.75" customHeight="1">
      <c r="B34" s="348"/>
      <c r="C34" s="364"/>
      <c r="D34" s="364"/>
      <c r="E34" s="364"/>
      <c r="F34" s="364"/>
      <c r="G34" s="364"/>
      <c r="H34" s="364"/>
      <c r="I34" s="364"/>
      <c r="J34" s="364"/>
      <c r="K34" s="364"/>
      <c r="L34" s="364"/>
      <c r="M34" s="455"/>
      <c r="N34" s="454"/>
    </row>
    <row r="35" spans="2:14" ht="15.75" customHeight="1"/>
    <row r="36" spans="2:14" ht="15.75" customHeight="1"/>
    <row r="37" spans="2:14" ht="15.75" customHeight="1"/>
    <row r="38" spans="2:14" ht="15.75" customHeight="1"/>
    <row r="39" spans="2:14" ht="15.75" customHeight="1"/>
    <row r="40" spans="2:14" ht="15.75" customHeight="1"/>
    <row r="41" spans="2:14" ht="15.75" customHeight="1"/>
    <row r="42" spans="2:14" ht="15.75" customHeight="1"/>
    <row r="43" spans="2:14" ht="15.75" customHeight="1"/>
    <row r="44" spans="2:14" ht="15.75" customHeight="1"/>
    <row r="45" spans="2:14" ht="15.75" customHeight="1"/>
    <row r="46" spans="2:14" ht="15.75" customHeight="1"/>
    <row r="47" spans="2:14" ht="15.75" customHeight="1"/>
    <row r="48" spans="2: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22" ht="15.75" customHeight="1"/>
    <row r="82" spans="2:22" ht="15.75" customHeight="1"/>
    <row r="83" spans="2:22" ht="15.75" customHeight="1"/>
    <row r="84" spans="2:22" ht="15.75" customHeight="1"/>
    <row r="85" spans="2:22" ht="15.75" customHeight="1"/>
    <row r="86" spans="2:22" ht="15.75" customHeight="1"/>
    <row r="87" spans="2:22" ht="15.75" customHeight="1"/>
    <row r="88" spans="2:22" ht="15.75" customHeight="1">
      <c r="B88" s="486"/>
      <c r="C88" s="486"/>
      <c r="D88" s="486"/>
      <c r="E88" s="486"/>
      <c r="F88" s="486"/>
      <c r="G88" s="486"/>
      <c r="H88" s="486"/>
      <c r="I88" s="486"/>
      <c r="J88" s="486"/>
      <c r="K88" s="486"/>
      <c r="L88" s="486"/>
      <c r="M88" s="486"/>
      <c r="N88" s="486"/>
      <c r="O88" s="486"/>
      <c r="P88" s="486"/>
      <c r="Q88" s="486"/>
      <c r="R88" s="486"/>
      <c r="S88" s="486"/>
      <c r="T88" s="486"/>
      <c r="U88" s="486"/>
      <c r="V88" s="486"/>
    </row>
    <row r="89" spans="2:22" ht="15.75" customHeight="1">
      <c r="B89" s="486"/>
      <c r="C89" s="486"/>
      <c r="D89" s="486"/>
      <c r="E89" s="486"/>
      <c r="F89" s="486"/>
      <c r="G89" s="486"/>
      <c r="H89" s="486"/>
      <c r="I89" s="486"/>
      <c r="J89" s="486"/>
      <c r="K89" s="486"/>
      <c r="L89" s="486"/>
      <c r="M89" s="486"/>
      <c r="N89" s="486"/>
      <c r="O89" s="486"/>
      <c r="P89" s="486"/>
      <c r="Q89" s="486"/>
      <c r="R89" s="486"/>
      <c r="S89" s="486"/>
      <c r="T89" s="486"/>
      <c r="U89" s="486"/>
      <c r="V89" s="486"/>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t="s">
        <v>528</v>
      </c>
      <c r="C91" s="486"/>
      <c r="D91" s="486">
        <f>D89+D90</f>
        <v>0</v>
      </c>
      <c r="E91" s="486">
        <f t="shared" ref="E91:V91" si="1">E89+E90</f>
        <v>0</v>
      </c>
      <c r="F91" s="486">
        <f t="shared" si="1"/>
        <v>0</v>
      </c>
      <c r="G91" s="486">
        <f t="shared" si="1"/>
        <v>0</v>
      </c>
      <c r="H91" s="486">
        <f t="shared" si="1"/>
        <v>0</v>
      </c>
      <c r="I91" s="486">
        <f t="shared" si="1"/>
        <v>0</v>
      </c>
      <c r="J91" s="486">
        <f t="shared" si="1"/>
        <v>0</v>
      </c>
      <c r="K91" s="486">
        <f t="shared" si="1"/>
        <v>0</v>
      </c>
      <c r="L91" s="486">
        <f t="shared" si="1"/>
        <v>0</v>
      </c>
      <c r="M91" s="486">
        <f t="shared" si="1"/>
        <v>0</v>
      </c>
      <c r="N91" s="486">
        <f t="shared" si="1"/>
        <v>0</v>
      </c>
      <c r="O91" s="486">
        <f t="shared" si="1"/>
        <v>0</v>
      </c>
      <c r="P91" s="486">
        <f t="shared" si="1"/>
        <v>0</v>
      </c>
      <c r="Q91" s="486">
        <f t="shared" si="1"/>
        <v>0</v>
      </c>
      <c r="R91" s="486">
        <f t="shared" si="1"/>
        <v>0</v>
      </c>
      <c r="S91" s="486">
        <f t="shared" si="1"/>
        <v>0</v>
      </c>
      <c r="T91" s="486">
        <f t="shared" si="1"/>
        <v>0</v>
      </c>
      <c r="U91" s="486">
        <f t="shared" si="1"/>
        <v>0</v>
      </c>
      <c r="V91" s="486">
        <f t="shared" si="1"/>
        <v>0</v>
      </c>
    </row>
    <row r="92" spans="2:22" ht="15.75" customHeight="1"/>
    <row r="93" spans="2:22" ht="15.75" customHeight="1">
      <c r="B93" s="486"/>
      <c r="C93" s="486"/>
      <c r="D93" s="486"/>
      <c r="E93" s="486"/>
      <c r="F93" s="486"/>
      <c r="G93" s="486"/>
      <c r="H93" s="486"/>
      <c r="I93" s="486"/>
      <c r="J93" s="486"/>
      <c r="K93" s="486"/>
      <c r="L93" s="486"/>
      <c r="M93" s="486"/>
      <c r="N93" s="486"/>
      <c r="O93" s="486"/>
      <c r="P93" s="486"/>
      <c r="Q93" s="486"/>
      <c r="R93" s="486"/>
      <c r="S93" s="486"/>
      <c r="T93" s="486"/>
      <c r="U93" s="486"/>
      <c r="V93" s="486"/>
    </row>
    <row r="94" spans="2:22" ht="15.75" customHeight="1">
      <c r="B94" s="486"/>
      <c r="C94" s="486"/>
      <c r="D94" s="486"/>
      <c r="E94" s="486"/>
      <c r="F94" s="486"/>
      <c r="G94" s="486"/>
      <c r="H94" s="486"/>
      <c r="I94" s="486"/>
      <c r="J94" s="486"/>
      <c r="K94" s="486"/>
      <c r="L94" s="486"/>
      <c r="M94" s="486"/>
      <c r="N94" s="486"/>
      <c r="O94" s="486"/>
      <c r="P94" s="486"/>
      <c r="Q94" s="486"/>
      <c r="R94" s="486"/>
      <c r="S94" s="486"/>
      <c r="T94" s="486"/>
      <c r="U94" s="486"/>
      <c r="V94" s="486"/>
    </row>
    <row r="95" spans="2:22" ht="15.75" customHeight="1">
      <c r="B95" s="486"/>
      <c r="C95" s="486"/>
      <c r="D95" s="486"/>
      <c r="E95" s="486"/>
      <c r="F95" s="486"/>
      <c r="G95" s="486"/>
      <c r="H95" s="486"/>
      <c r="I95" s="486"/>
      <c r="J95" s="486"/>
      <c r="K95" s="486"/>
      <c r="L95" s="486"/>
      <c r="M95" s="486"/>
      <c r="N95" s="486"/>
      <c r="O95" s="486"/>
      <c r="P95" s="486"/>
      <c r="Q95" s="486"/>
      <c r="R95" s="486"/>
      <c r="S95" s="486"/>
      <c r="T95" s="486"/>
      <c r="U95" s="486"/>
      <c r="V95" s="486"/>
    </row>
    <row r="96" spans="2:22" ht="15.75" customHeight="1">
      <c r="B96" s="486" t="s">
        <v>133</v>
      </c>
      <c r="C96" s="486"/>
      <c r="D96" s="486">
        <f>D94+D95</f>
        <v>0</v>
      </c>
      <c r="E96" s="486">
        <f t="shared" ref="E96:V96" si="2">E94+E95</f>
        <v>0</v>
      </c>
      <c r="F96" s="486">
        <f t="shared" si="2"/>
        <v>0</v>
      </c>
      <c r="G96" s="486">
        <f t="shared" si="2"/>
        <v>0</v>
      </c>
      <c r="H96" s="486">
        <f t="shared" si="2"/>
        <v>0</v>
      </c>
      <c r="I96" s="486">
        <f t="shared" si="2"/>
        <v>0</v>
      </c>
      <c r="J96" s="486">
        <f t="shared" si="2"/>
        <v>0</v>
      </c>
      <c r="K96" s="486">
        <f t="shared" si="2"/>
        <v>0</v>
      </c>
      <c r="L96" s="486">
        <f t="shared" si="2"/>
        <v>0</v>
      </c>
      <c r="M96" s="486">
        <f t="shared" si="2"/>
        <v>0</v>
      </c>
      <c r="N96" s="486">
        <f t="shared" si="2"/>
        <v>0</v>
      </c>
      <c r="O96" s="486">
        <f t="shared" si="2"/>
        <v>0</v>
      </c>
      <c r="P96" s="486">
        <f t="shared" si="2"/>
        <v>0</v>
      </c>
      <c r="Q96" s="486">
        <f t="shared" si="2"/>
        <v>0</v>
      </c>
      <c r="R96" s="486">
        <f t="shared" si="2"/>
        <v>0</v>
      </c>
      <c r="S96" s="486">
        <f t="shared" si="2"/>
        <v>0</v>
      </c>
      <c r="T96" s="486">
        <f t="shared" si="2"/>
        <v>0</v>
      </c>
      <c r="U96" s="486">
        <f t="shared" si="2"/>
        <v>0</v>
      </c>
      <c r="V96" s="486">
        <f t="shared" si="2"/>
        <v>0</v>
      </c>
    </row>
    <row r="97" spans="2:22" ht="15.75" customHeight="1"/>
    <row r="98" spans="2:22" ht="15.75" customHeight="1">
      <c r="B98" s="486" t="s">
        <v>529</v>
      </c>
      <c r="C98" s="486"/>
      <c r="D98" s="486"/>
      <c r="E98" s="486"/>
      <c r="F98" s="486"/>
      <c r="G98" s="486"/>
      <c r="H98" s="486"/>
      <c r="I98" s="486"/>
      <c r="J98" s="486"/>
      <c r="K98" s="486"/>
      <c r="L98" s="486"/>
      <c r="M98" s="486"/>
      <c r="N98" s="486"/>
      <c r="O98" s="486"/>
      <c r="P98" s="486"/>
      <c r="Q98" s="486"/>
      <c r="R98" s="486"/>
      <c r="S98" s="486"/>
      <c r="T98" s="486"/>
      <c r="U98" s="486"/>
      <c r="V98" s="486"/>
    </row>
    <row r="99" spans="2:22" ht="15.75" customHeight="1">
      <c r="B99" s="486"/>
      <c r="C99" s="486"/>
      <c r="D99" s="486"/>
      <c r="E99" s="486"/>
      <c r="F99" s="486"/>
      <c r="G99" s="486"/>
      <c r="H99" s="486"/>
      <c r="I99" s="486"/>
      <c r="J99" s="486"/>
      <c r="K99" s="486"/>
      <c r="L99" s="486"/>
      <c r="M99" s="486"/>
      <c r="N99" s="486"/>
      <c r="O99" s="486"/>
      <c r="P99" s="486"/>
      <c r="Q99" s="486"/>
      <c r="R99" s="486"/>
      <c r="S99" s="486"/>
      <c r="T99" s="486"/>
      <c r="U99" s="486"/>
      <c r="V99" s="486"/>
    </row>
    <row r="100" spans="2:22" ht="15.75" customHeight="1">
      <c r="B100" s="486"/>
      <c r="C100" s="486"/>
      <c r="D100" s="486"/>
      <c r="E100" s="486"/>
      <c r="F100" s="486"/>
      <c r="G100" s="486"/>
      <c r="H100" s="486"/>
      <c r="I100" s="486"/>
      <c r="J100" s="486"/>
      <c r="K100" s="486"/>
      <c r="L100" s="486"/>
      <c r="M100" s="486"/>
      <c r="N100" s="486"/>
      <c r="O100" s="486"/>
      <c r="P100" s="486"/>
      <c r="Q100" s="486"/>
      <c r="R100" s="486"/>
      <c r="S100" s="486"/>
      <c r="T100" s="486"/>
      <c r="U100" s="486"/>
      <c r="V100" s="486"/>
    </row>
    <row r="101" spans="2:22" ht="15.75" customHeight="1">
      <c r="B101" s="486" t="s">
        <v>133</v>
      </c>
      <c r="C101" s="486"/>
      <c r="D101" s="486">
        <f>D99+D100</f>
        <v>0</v>
      </c>
      <c r="E101" s="486">
        <f t="shared" ref="E101:V101" si="3">E99+E100</f>
        <v>0</v>
      </c>
      <c r="F101" s="486">
        <f t="shared" si="3"/>
        <v>0</v>
      </c>
      <c r="G101" s="486">
        <f t="shared" si="3"/>
        <v>0</v>
      </c>
      <c r="H101" s="486">
        <f t="shared" si="3"/>
        <v>0</v>
      </c>
      <c r="I101" s="486">
        <f t="shared" si="3"/>
        <v>0</v>
      </c>
      <c r="J101" s="486">
        <f t="shared" si="3"/>
        <v>0</v>
      </c>
      <c r="K101" s="486">
        <f t="shared" si="3"/>
        <v>0</v>
      </c>
      <c r="L101" s="486">
        <f t="shared" si="3"/>
        <v>0</v>
      </c>
      <c r="M101" s="486">
        <f t="shared" si="3"/>
        <v>0</v>
      </c>
      <c r="N101" s="486">
        <f t="shared" si="3"/>
        <v>0</v>
      </c>
      <c r="O101" s="486">
        <f t="shared" si="3"/>
        <v>0</v>
      </c>
      <c r="P101" s="486">
        <f t="shared" si="3"/>
        <v>0</v>
      </c>
      <c r="Q101" s="486">
        <f t="shared" si="3"/>
        <v>0</v>
      </c>
      <c r="R101" s="486">
        <f t="shared" si="3"/>
        <v>0</v>
      </c>
      <c r="S101" s="486">
        <f t="shared" si="3"/>
        <v>0</v>
      </c>
      <c r="T101" s="486">
        <f t="shared" si="3"/>
        <v>0</v>
      </c>
      <c r="U101" s="486">
        <f t="shared" si="3"/>
        <v>0</v>
      </c>
      <c r="V101" s="486">
        <f t="shared" si="3"/>
        <v>0</v>
      </c>
    </row>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1">
    <mergeCell ref="B20:E20"/>
    <mergeCell ref="B26:F26"/>
    <mergeCell ref="B29:C29"/>
    <mergeCell ref="B2:D2"/>
    <mergeCell ref="B4:B5"/>
    <mergeCell ref="C4:T4"/>
    <mergeCell ref="B10:C10"/>
    <mergeCell ref="B12:C12"/>
    <mergeCell ref="J14:J15"/>
    <mergeCell ref="K14:K15"/>
    <mergeCell ref="L14:L1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E4EE-8C62-4D79-8159-236F82A6B286}">
  <sheetPr>
    <tabColor theme="4" tint="0.59999389629810485"/>
    <outlinePr summaryBelow="0" summaryRight="0"/>
  </sheetPr>
  <dimension ref="B1:V999"/>
  <sheetViews>
    <sheetView topLeftCell="A74" workbookViewId="0">
      <selection activeCell="B100" sqref="B100"/>
    </sheetView>
  </sheetViews>
  <sheetFormatPr defaultColWidth="12.6640625" defaultRowHeight="15" customHeight="1"/>
  <cols>
    <col min="1" max="1" width="12.6640625" style="10" customWidth="1"/>
    <col min="2" max="2" width="65.21875" style="10" customWidth="1"/>
    <col min="3" max="3" width="21" style="10" customWidth="1"/>
    <col min="4" max="6" width="12.6640625" style="10" customWidth="1"/>
    <col min="7" max="16384" width="12.6640625" style="10"/>
  </cols>
  <sheetData>
    <row r="1" spans="2:3" ht="15.75" customHeight="1"/>
    <row r="2" spans="2:3" ht="15.75" customHeight="1">
      <c r="B2" s="733" t="s">
        <v>463</v>
      </c>
      <c r="C2" s="688"/>
    </row>
    <row r="3" spans="2:3" ht="15.75" customHeight="1">
      <c r="B3" s="348"/>
      <c r="C3" s="306"/>
    </row>
    <row r="4" spans="2:3" ht="15.75" customHeight="1">
      <c r="B4" s="307" t="s">
        <v>238</v>
      </c>
      <c r="C4" s="308" t="s">
        <v>239</v>
      </c>
    </row>
    <row r="5" spans="2:3" ht="15.75" customHeight="1">
      <c r="B5" s="309" t="s">
        <v>240</v>
      </c>
      <c r="C5" s="310">
        <v>0.55000000000000004</v>
      </c>
    </row>
    <row r="6" spans="2:3" ht="15.75" customHeight="1">
      <c r="B6" s="309" t="s">
        <v>14</v>
      </c>
      <c r="C6" s="310">
        <v>3</v>
      </c>
    </row>
    <row r="7" spans="2:3" ht="15.75" customHeight="1">
      <c r="B7" s="309" t="s">
        <v>241</v>
      </c>
      <c r="C7" s="310">
        <v>2.5</v>
      </c>
    </row>
    <row r="8" spans="2:3" ht="15.75" customHeight="1">
      <c r="B8" s="309" t="s">
        <v>242</v>
      </c>
      <c r="C8" s="310">
        <v>9</v>
      </c>
    </row>
    <row r="9" spans="2:3" ht="15.75" customHeight="1">
      <c r="B9" s="309" t="s">
        <v>15</v>
      </c>
      <c r="C9" s="310">
        <v>1</v>
      </c>
    </row>
    <row r="10" spans="2:3" ht="15.75" customHeight="1">
      <c r="B10" s="309" t="s">
        <v>16</v>
      </c>
      <c r="C10" s="310">
        <v>2.2400000000000002</v>
      </c>
    </row>
    <row r="11" spans="2:3" ht="15.75" customHeight="1">
      <c r="B11" s="309" t="s">
        <v>17</v>
      </c>
      <c r="C11" s="310">
        <v>5</v>
      </c>
    </row>
    <row r="12" spans="2:3" ht="15.75" customHeight="1">
      <c r="B12" s="309" t="s">
        <v>18</v>
      </c>
      <c r="C12" s="310">
        <v>5.9</v>
      </c>
    </row>
    <row r="13" spans="2:3" ht="15.75" customHeight="1">
      <c r="B13" s="309" t="s">
        <v>19</v>
      </c>
      <c r="C13" s="310">
        <v>6.12</v>
      </c>
    </row>
    <row r="14" spans="2:3" ht="15.75" customHeight="1">
      <c r="B14" s="309" t="s">
        <v>20</v>
      </c>
      <c r="C14" s="310">
        <v>3.1</v>
      </c>
    </row>
    <row r="15" spans="2:3" ht="15.75" customHeight="1">
      <c r="B15" s="456" t="s">
        <v>243</v>
      </c>
      <c r="C15" s="312">
        <v>2.5</v>
      </c>
    </row>
    <row r="16" spans="2:3" ht="15.75" customHeight="1"/>
    <row r="17" spans="2:22" ht="15.75" customHeight="1">
      <c r="B17" s="315" t="s">
        <v>244</v>
      </c>
      <c r="C17" s="316" t="s">
        <v>245</v>
      </c>
      <c r="D17" s="316">
        <v>2005</v>
      </c>
      <c r="E17" s="316">
        <v>2006</v>
      </c>
      <c r="F17" s="316">
        <v>2007</v>
      </c>
      <c r="G17" s="316">
        <v>2008</v>
      </c>
      <c r="H17" s="316">
        <v>2009</v>
      </c>
      <c r="I17" s="316">
        <v>2010</v>
      </c>
      <c r="J17" s="316">
        <v>2011</v>
      </c>
      <c r="K17" s="316">
        <v>2012</v>
      </c>
      <c r="L17" s="316">
        <v>2013</v>
      </c>
      <c r="M17" s="316">
        <v>2014</v>
      </c>
      <c r="N17" s="316">
        <v>2015</v>
      </c>
      <c r="O17" s="316">
        <v>2016</v>
      </c>
      <c r="P17" s="316">
        <v>2017</v>
      </c>
      <c r="Q17" s="316">
        <v>2018</v>
      </c>
      <c r="R17" s="317">
        <v>2019</v>
      </c>
      <c r="S17" s="317">
        <v>2020</v>
      </c>
      <c r="T17" s="317">
        <v>2021</v>
      </c>
      <c r="U17" s="318">
        <v>2022</v>
      </c>
      <c r="V17" s="367">
        <v>2023</v>
      </c>
    </row>
    <row r="18" spans="2:22" ht="15.75" customHeight="1">
      <c r="B18" s="319" t="s">
        <v>0</v>
      </c>
      <c r="C18" s="320"/>
      <c r="D18" s="326">
        <f>(('state_production_fish processin'!C5*0.25)+('state_production_fish processin'!D5*0.75))</f>
        <v>318328.54499999998</v>
      </c>
      <c r="E18" s="326">
        <f>(('state_production_fish processin'!D5*0.25)+('state_production_fish processin'!E5*0.75))</f>
        <v>318328.54499999998</v>
      </c>
      <c r="F18" s="326">
        <f>(('state_production_fish processin'!E5*0.25)+('state_production_fish processin'!F5*0.75))</f>
        <v>318328.54499999998</v>
      </c>
      <c r="G18" s="326">
        <f>(('state_production_fish processin'!F5*0.25)+('state_production_fish processin'!G5*0.75))</f>
        <v>318328.54499999998</v>
      </c>
      <c r="H18" s="326">
        <f>(('state_production_fish processin'!G5*0.25)+('state_production_fish processin'!H5*0.75))</f>
        <v>318328.54499999998</v>
      </c>
      <c r="I18" s="326">
        <f>(('state_production_fish processin'!H5*0.25)+('state_production_fish processin'!I5*0.75))</f>
        <v>318328.54499999998</v>
      </c>
      <c r="J18" s="326">
        <f>(('state_production_fish processin'!I5*0.25)+('state_production_fish processin'!J5*0.75))</f>
        <v>318328.54499999998</v>
      </c>
      <c r="K18" s="326">
        <f>(('state_production_fish processin'!J5*0.25)+('state_production_fish processin'!K5*0.75))</f>
        <v>318328.54499999998</v>
      </c>
      <c r="L18" s="326">
        <f>(('state_production_fish processin'!K5*0.25)+('state_production_fish processin'!L5*0.75))</f>
        <v>318328.54499999998</v>
      </c>
      <c r="M18" s="326">
        <f>(('state_production_fish processin'!L5*0.25)+('state_production_fish processin'!M5*0.75))</f>
        <v>318328.54499999998</v>
      </c>
      <c r="N18" s="326">
        <f>(('state_production_fish processin'!M5*0.25)+('state_production_fish processin'!N5*0.75))</f>
        <v>318328.54499999998</v>
      </c>
      <c r="O18" s="326">
        <f>(('state_production_fish processin'!N5*0.25)+('state_production_fish processin'!O5*0.75))</f>
        <v>318328.54499999998</v>
      </c>
      <c r="P18" s="326">
        <f>(('state_production_fish processin'!O5*0.25)+('state_production_fish processin'!P5*0.75))</f>
        <v>318328.54499999998</v>
      </c>
      <c r="Q18" s="326">
        <f>(('state_production_fish processin'!P5*0.25)+('state_production_fish processin'!Q5*0.75))</f>
        <v>318328.54499999998</v>
      </c>
      <c r="R18" s="326">
        <f>(('state_production_fish processin'!Q5*0.25)+('state_production_fish processin'!R5*0.75))</f>
        <v>318328.54499999998</v>
      </c>
      <c r="S18" s="326">
        <f>(('state_production_fish processin'!R5*0.25)+('state_production_fish processin'!S5*0.75))</f>
        <v>318328.54499999998</v>
      </c>
      <c r="T18" s="326">
        <f>(('state_production_fish processin'!S5*0.25)+('state_production_fish processin'!T5*0.75))</f>
        <v>318328.54499999998</v>
      </c>
      <c r="U18" s="326">
        <f>(('state_production_fish processin'!T5*0.25)+('state_production_fish processin'!U5*0.75))</f>
        <v>318328.54499999998</v>
      </c>
      <c r="V18" s="326">
        <f>(('state_production_fish processin'!U5*0.25)+('state_production_fish processin'!V5*0.75))</f>
        <v>318328.54499999998</v>
      </c>
    </row>
    <row r="19" spans="2:22" ht="15.75" customHeight="1">
      <c r="B19" s="371"/>
      <c r="C19" s="361"/>
      <c r="D19" s="386"/>
      <c r="E19" s="386"/>
      <c r="F19" s="386"/>
      <c r="G19" s="386"/>
      <c r="H19" s="386"/>
      <c r="I19" s="386"/>
      <c r="J19" s="386"/>
      <c r="K19" s="386"/>
      <c r="L19" s="386"/>
      <c r="M19" s="386"/>
      <c r="N19" s="386"/>
      <c r="O19" s="386"/>
      <c r="P19" s="386"/>
      <c r="Q19" s="386"/>
      <c r="R19" s="323"/>
      <c r="S19" s="323"/>
      <c r="T19" s="323"/>
    </row>
    <row r="20" spans="2:22" ht="15.75" customHeight="1">
      <c r="B20" s="371"/>
      <c r="C20" s="361"/>
      <c r="D20" s="386"/>
      <c r="E20" s="386"/>
      <c r="F20" s="386"/>
      <c r="G20" s="386"/>
      <c r="H20" s="386"/>
      <c r="I20" s="386"/>
      <c r="J20" s="386"/>
      <c r="K20" s="386"/>
      <c r="L20" s="386"/>
      <c r="M20" s="386"/>
      <c r="N20" s="386"/>
      <c r="O20" s="386"/>
      <c r="P20" s="386"/>
      <c r="Q20" s="386"/>
    </row>
    <row r="21" spans="2:22" ht="15.75" customHeight="1">
      <c r="B21" s="457" t="s">
        <v>291</v>
      </c>
      <c r="C21" s="316" t="s">
        <v>247</v>
      </c>
      <c r="D21" s="316">
        <v>2005</v>
      </c>
      <c r="E21" s="316">
        <v>2006</v>
      </c>
      <c r="F21" s="316">
        <v>2007</v>
      </c>
      <c r="G21" s="316">
        <v>2008</v>
      </c>
      <c r="H21" s="316">
        <v>2009</v>
      </c>
      <c r="I21" s="316">
        <v>2010</v>
      </c>
      <c r="J21" s="316">
        <v>2011</v>
      </c>
      <c r="K21" s="316">
        <v>2012</v>
      </c>
      <c r="L21" s="316">
        <v>2013</v>
      </c>
      <c r="M21" s="316">
        <v>2014</v>
      </c>
      <c r="N21" s="316">
        <v>2015</v>
      </c>
      <c r="O21" s="316">
        <v>2016</v>
      </c>
      <c r="P21" s="316">
        <v>2017</v>
      </c>
      <c r="Q21" s="316">
        <v>2018</v>
      </c>
      <c r="R21" s="317">
        <v>2019</v>
      </c>
      <c r="S21" s="317">
        <v>2020</v>
      </c>
      <c r="T21" s="317">
        <v>2021</v>
      </c>
      <c r="U21" s="318">
        <v>2022</v>
      </c>
      <c r="V21" s="367">
        <v>2023</v>
      </c>
    </row>
    <row r="22" spans="2:22" ht="15.75" customHeight="1">
      <c r="B22" s="352" t="s">
        <v>0</v>
      </c>
      <c r="C22" s="320"/>
      <c r="D22" s="445">
        <f t="shared" ref="D22:V22" si="0">D18/365</f>
        <v>872.13299999999992</v>
      </c>
      <c r="E22" s="445">
        <f t="shared" si="0"/>
        <v>872.13299999999992</v>
      </c>
      <c r="F22" s="445">
        <f t="shared" si="0"/>
        <v>872.13299999999992</v>
      </c>
      <c r="G22" s="445">
        <f t="shared" si="0"/>
        <v>872.13299999999992</v>
      </c>
      <c r="H22" s="445">
        <f t="shared" si="0"/>
        <v>872.13299999999992</v>
      </c>
      <c r="I22" s="445">
        <f t="shared" si="0"/>
        <v>872.13299999999992</v>
      </c>
      <c r="J22" s="445">
        <f t="shared" si="0"/>
        <v>872.13299999999992</v>
      </c>
      <c r="K22" s="445">
        <f t="shared" si="0"/>
        <v>872.13299999999992</v>
      </c>
      <c r="L22" s="445">
        <f t="shared" si="0"/>
        <v>872.13299999999992</v>
      </c>
      <c r="M22" s="445">
        <f t="shared" si="0"/>
        <v>872.13299999999992</v>
      </c>
      <c r="N22" s="445">
        <f t="shared" si="0"/>
        <v>872.13299999999992</v>
      </c>
      <c r="O22" s="445">
        <f t="shared" si="0"/>
        <v>872.13299999999992</v>
      </c>
      <c r="P22" s="445">
        <f t="shared" si="0"/>
        <v>872.13299999999992</v>
      </c>
      <c r="Q22" s="445">
        <f t="shared" si="0"/>
        <v>872.13299999999992</v>
      </c>
      <c r="R22" s="445">
        <f t="shared" si="0"/>
        <v>872.13299999999992</v>
      </c>
      <c r="S22" s="445">
        <f t="shared" si="0"/>
        <v>872.13299999999992</v>
      </c>
      <c r="T22" s="445">
        <f t="shared" si="0"/>
        <v>872.13299999999992</v>
      </c>
      <c r="U22" s="445">
        <f t="shared" si="0"/>
        <v>872.13299999999992</v>
      </c>
      <c r="V22" s="445">
        <f t="shared" si="0"/>
        <v>872.13299999999992</v>
      </c>
    </row>
    <row r="23" spans="2:22" ht="15.75" customHeight="1">
      <c r="B23" s="371"/>
      <c r="C23" s="361"/>
      <c r="D23" s="386"/>
      <c r="E23" s="386"/>
      <c r="F23" s="386"/>
      <c r="G23" s="386"/>
      <c r="H23" s="386"/>
      <c r="I23" s="386"/>
      <c r="J23" s="386"/>
      <c r="K23" s="386"/>
      <c r="L23" s="386"/>
      <c r="M23" s="386"/>
      <c r="N23" s="386"/>
      <c r="O23" s="386"/>
      <c r="P23" s="386"/>
      <c r="Q23" s="386"/>
    </row>
    <row r="24" spans="2:22" ht="15.75" customHeight="1">
      <c r="B24" s="352" t="s">
        <v>293</v>
      </c>
      <c r="C24" s="320">
        <v>1.52152</v>
      </c>
      <c r="D24" s="445" t="s">
        <v>248</v>
      </c>
      <c r="E24" s="445">
        <f>C24*10^6</f>
        <v>1521520</v>
      </c>
      <c r="F24" s="445" t="s">
        <v>249</v>
      </c>
      <c r="G24" s="386"/>
      <c r="H24" s="386"/>
      <c r="I24" s="386"/>
      <c r="J24" s="386"/>
      <c r="K24" s="386"/>
      <c r="L24" s="386"/>
      <c r="M24" s="386"/>
      <c r="N24" s="386"/>
      <c r="O24" s="386"/>
      <c r="P24" s="386"/>
      <c r="Q24" s="386"/>
    </row>
    <row r="25" spans="2:22" ht="15.75" customHeight="1">
      <c r="B25" s="371"/>
      <c r="C25" s="361"/>
      <c r="D25" s="386"/>
      <c r="E25" s="386"/>
      <c r="F25" s="386"/>
      <c r="G25" s="386"/>
      <c r="H25" s="386"/>
      <c r="I25" s="386"/>
      <c r="J25" s="386"/>
      <c r="K25" s="386"/>
      <c r="L25" s="386"/>
      <c r="M25" s="386"/>
      <c r="N25" s="386"/>
      <c r="O25" s="386"/>
      <c r="P25" s="386"/>
      <c r="Q25" s="386"/>
    </row>
    <row r="26" spans="2:22" ht="15.75" customHeight="1">
      <c r="B26" s="352" t="s">
        <v>250</v>
      </c>
      <c r="C26" s="458">
        <f>(E24/S22)/1000</f>
        <v>1.7445962943725328</v>
      </c>
      <c r="D26" s="386"/>
      <c r="E26" s="386"/>
      <c r="F26" s="386"/>
      <c r="G26" s="386"/>
      <c r="H26" s="386"/>
      <c r="I26" s="386"/>
      <c r="J26" s="386"/>
      <c r="K26" s="386"/>
      <c r="L26" s="386"/>
      <c r="M26" s="386"/>
      <c r="N26" s="386"/>
      <c r="O26" s="386"/>
      <c r="P26" s="386"/>
      <c r="Q26" s="386"/>
    </row>
    <row r="27" spans="2:22" ht="15.75" customHeight="1">
      <c r="B27" s="371"/>
      <c r="C27" s="361"/>
      <c r="D27" s="386"/>
      <c r="E27" s="386"/>
      <c r="F27" s="386"/>
      <c r="G27" s="386"/>
      <c r="H27" s="386"/>
      <c r="I27" s="386"/>
      <c r="J27" s="386"/>
      <c r="K27" s="386"/>
      <c r="L27" s="386"/>
      <c r="M27" s="386"/>
      <c r="N27" s="386"/>
      <c r="O27" s="386"/>
      <c r="P27" s="386"/>
      <c r="Q27" s="386"/>
    </row>
    <row r="28" spans="2:22" ht="15.75" customHeight="1">
      <c r="B28" s="371"/>
      <c r="C28" s="361"/>
      <c r="D28" s="386"/>
      <c r="E28" s="386"/>
      <c r="F28" s="386"/>
      <c r="G28" s="386"/>
      <c r="H28" s="386"/>
      <c r="I28" s="386"/>
      <c r="J28" s="386"/>
      <c r="K28" s="386"/>
      <c r="L28" s="386"/>
      <c r="M28" s="386"/>
      <c r="N28" s="386"/>
      <c r="O28" s="386"/>
      <c r="P28" s="386"/>
      <c r="Q28" s="386"/>
    </row>
    <row r="29" spans="2:22" ht="15.75" customHeight="1">
      <c r="B29" s="315" t="s">
        <v>251</v>
      </c>
      <c r="C29" s="316" t="s">
        <v>252</v>
      </c>
      <c r="D29" s="316">
        <v>2005</v>
      </c>
      <c r="E29" s="316">
        <v>2006</v>
      </c>
      <c r="F29" s="316">
        <v>2007</v>
      </c>
      <c r="G29" s="316">
        <v>2008</v>
      </c>
      <c r="H29" s="316">
        <v>2009</v>
      </c>
      <c r="I29" s="316">
        <v>2010</v>
      </c>
      <c r="J29" s="316">
        <v>2011</v>
      </c>
      <c r="K29" s="316">
        <v>2012</v>
      </c>
      <c r="L29" s="316">
        <v>2013</v>
      </c>
      <c r="M29" s="316">
        <v>2014</v>
      </c>
      <c r="N29" s="316">
        <v>2015</v>
      </c>
      <c r="O29" s="316">
        <v>2016</v>
      </c>
      <c r="P29" s="316">
        <v>2017</v>
      </c>
      <c r="Q29" s="316">
        <v>2018</v>
      </c>
      <c r="R29" s="317">
        <v>2019</v>
      </c>
      <c r="S29" s="317">
        <v>2020</v>
      </c>
      <c r="T29" s="317">
        <v>2021</v>
      </c>
      <c r="U29" s="318">
        <v>2022</v>
      </c>
      <c r="V29" s="367">
        <v>2023</v>
      </c>
    </row>
    <row r="30" spans="2:22" ht="15.75" customHeight="1">
      <c r="B30" s="319" t="s">
        <v>464</v>
      </c>
      <c r="C30" s="320" t="s">
        <v>253</v>
      </c>
      <c r="D30" s="459">
        <f t="shared" ref="D30:V30" si="1">$C$26</f>
        <v>1.7445962943725328</v>
      </c>
      <c r="E30" s="459">
        <f t="shared" si="1"/>
        <v>1.7445962943725328</v>
      </c>
      <c r="F30" s="459">
        <f t="shared" si="1"/>
        <v>1.7445962943725328</v>
      </c>
      <c r="G30" s="459">
        <f t="shared" si="1"/>
        <v>1.7445962943725328</v>
      </c>
      <c r="H30" s="459">
        <f t="shared" si="1"/>
        <v>1.7445962943725328</v>
      </c>
      <c r="I30" s="459">
        <f t="shared" si="1"/>
        <v>1.7445962943725328</v>
      </c>
      <c r="J30" s="459">
        <f t="shared" si="1"/>
        <v>1.7445962943725328</v>
      </c>
      <c r="K30" s="459">
        <f t="shared" si="1"/>
        <v>1.7445962943725328</v>
      </c>
      <c r="L30" s="459">
        <f t="shared" si="1"/>
        <v>1.7445962943725328</v>
      </c>
      <c r="M30" s="459">
        <f t="shared" si="1"/>
        <v>1.7445962943725328</v>
      </c>
      <c r="N30" s="459">
        <f t="shared" si="1"/>
        <v>1.7445962943725328</v>
      </c>
      <c r="O30" s="459">
        <f t="shared" si="1"/>
        <v>1.7445962943725328</v>
      </c>
      <c r="P30" s="459">
        <f t="shared" si="1"/>
        <v>1.7445962943725328</v>
      </c>
      <c r="Q30" s="459">
        <f t="shared" si="1"/>
        <v>1.7445962943725328</v>
      </c>
      <c r="R30" s="459">
        <f t="shared" si="1"/>
        <v>1.7445962943725328</v>
      </c>
      <c r="S30" s="459">
        <f t="shared" si="1"/>
        <v>1.7445962943725328</v>
      </c>
      <c r="T30" s="459">
        <f t="shared" si="1"/>
        <v>1.7445962943725328</v>
      </c>
      <c r="U30" s="459">
        <f t="shared" si="1"/>
        <v>1.7445962943725328</v>
      </c>
      <c r="V30" s="459">
        <f t="shared" si="1"/>
        <v>1.7445962943725328</v>
      </c>
    </row>
    <row r="31" spans="2:22" ht="15.75" customHeight="1">
      <c r="B31" s="371"/>
      <c r="C31" s="361"/>
      <c r="D31" s="341"/>
      <c r="E31" s="341"/>
      <c r="F31" s="341"/>
      <c r="G31" s="341"/>
      <c r="H31" s="341"/>
      <c r="I31" s="341"/>
      <c r="J31" s="341"/>
      <c r="K31" s="341"/>
      <c r="L31" s="341"/>
      <c r="M31" s="341"/>
      <c r="N31" s="341"/>
      <c r="O31" s="341"/>
      <c r="P31" s="460"/>
      <c r="Q31" s="460"/>
      <c r="R31" s="461"/>
      <c r="S31" s="461"/>
      <c r="T31" s="461"/>
    </row>
    <row r="32" spans="2:22" ht="15.75" customHeight="1">
      <c r="B32" s="315" t="s">
        <v>254</v>
      </c>
      <c r="C32" s="316" t="s">
        <v>255</v>
      </c>
      <c r="D32" s="316">
        <v>2005</v>
      </c>
      <c r="E32" s="316">
        <v>2006</v>
      </c>
      <c r="F32" s="316">
        <v>2007</v>
      </c>
      <c r="G32" s="316">
        <v>2008</v>
      </c>
      <c r="H32" s="316">
        <v>2009</v>
      </c>
      <c r="I32" s="316">
        <v>2010</v>
      </c>
      <c r="J32" s="316">
        <v>2011</v>
      </c>
      <c r="K32" s="316">
        <v>2012</v>
      </c>
      <c r="L32" s="316">
        <v>2013</v>
      </c>
      <c r="M32" s="316">
        <v>2014</v>
      </c>
      <c r="N32" s="316">
        <v>2015</v>
      </c>
      <c r="O32" s="316">
        <v>2016</v>
      </c>
      <c r="P32" s="316">
        <v>2017</v>
      </c>
      <c r="Q32" s="316">
        <v>2018</v>
      </c>
      <c r="R32" s="317">
        <v>2019</v>
      </c>
      <c r="S32" s="317">
        <v>2020</v>
      </c>
      <c r="T32" s="317">
        <v>2021</v>
      </c>
      <c r="U32" s="318">
        <v>2022</v>
      </c>
      <c r="V32" s="367">
        <v>2023</v>
      </c>
    </row>
    <row r="33" spans="2:22" ht="15.75" customHeight="1">
      <c r="B33" s="448" t="s">
        <v>0</v>
      </c>
      <c r="C33" s="326"/>
      <c r="D33" s="326">
        <f t="shared" ref="D33:V33" si="2">D18*D30*$C$15</f>
        <v>1388387</v>
      </c>
      <c r="E33" s="326">
        <f t="shared" si="2"/>
        <v>1388387</v>
      </c>
      <c r="F33" s="326">
        <f t="shared" si="2"/>
        <v>1388387</v>
      </c>
      <c r="G33" s="326">
        <f t="shared" si="2"/>
        <v>1388387</v>
      </c>
      <c r="H33" s="326">
        <f t="shared" si="2"/>
        <v>1388387</v>
      </c>
      <c r="I33" s="326">
        <f t="shared" si="2"/>
        <v>1388387</v>
      </c>
      <c r="J33" s="326">
        <f t="shared" si="2"/>
        <v>1388387</v>
      </c>
      <c r="K33" s="326">
        <f t="shared" si="2"/>
        <v>1388387</v>
      </c>
      <c r="L33" s="326">
        <f t="shared" si="2"/>
        <v>1388387</v>
      </c>
      <c r="M33" s="326">
        <f t="shared" si="2"/>
        <v>1388387</v>
      </c>
      <c r="N33" s="326">
        <f t="shared" si="2"/>
        <v>1388387</v>
      </c>
      <c r="O33" s="326">
        <f t="shared" si="2"/>
        <v>1388387</v>
      </c>
      <c r="P33" s="326">
        <f t="shared" si="2"/>
        <v>1388387</v>
      </c>
      <c r="Q33" s="326">
        <f t="shared" si="2"/>
        <v>1388387</v>
      </c>
      <c r="R33" s="326">
        <f t="shared" si="2"/>
        <v>1388387</v>
      </c>
      <c r="S33" s="326">
        <f t="shared" si="2"/>
        <v>1388387</v>
      </c>
      <c r="T33" s="326">
        <f t="shared" si="2"/>
        <v>1388387</v>
      </c>
      <c r="U33" s="326">
        <f t="shared" si="2"/>
        <v>1388387</v>
      </c>
      <c r="V33" s="326">
        <f t="shared" si="2"/>
        <v>1388387</v>
      </c>
    </row>
    <row r="34" spans="2:22" ht="15.75" customHeight="1"/>
    <row r="35" spans="2:22" ht="15.75" customHeight="1">
      <c r="B35" s="307" t="s">
        <v>256</v>
      </c>
      <c r="C35" s="425" t="s">
        <v>257</v>
      </c>
    </row>
    <row r="36" spans="2:22" ht="15.75" customHeight="1">
      <c r="B36" s="328" t="s">
        <v>258</v>
      </c>
      <c r="C36" s="329">
        <v>0.1</v>
      </c>
    </row>
    <row r="37" spans="2:22" ht="15.75" customHeight="1">
      <c r="B37" s="328" t="s">
        <v>259</v>
      </c>
      <c r="C37" s="329">
        <v>0</v>
      </c>
    </row>
    <row r="38" spans="2:22" ht="15.75" customHeight="1">
      <c r="B38" s="328" t="s">
        <v>260</v>
      </c>
      <c r="C38" s="329">
        <v>0.3</v>
      </c>
    </row>
    <row r="39" spans="2:22" ht="15.75" customHeight="1">
      <c r="B39" s="328" t="s">
        <v>261</v>
      </c>
      <c r="C39" s="329">
        <v>0.8</v>
      </c>
    </row>
    <row r="40" spans="2:22" ht="15.75" customHeight="1">
      <c r="B40" s="328" t="s">
        <v>262</v>
      </c>
      <c r="C40" s="329">
        <v>0.8</v>
      </c>
    </row>
    <row r="41" spans="2:22" ht="15.75" customHeight="1">
      <c r="B41" s="328" t="s">
        <v>263</v>
      </c>
      <c r="C41" s="329">
        <v>0.2</v>
      </c>
    </row>
    <row r="42" spans="2:22" ht="15.75" customHeight="1">
      <c r="B42" s="330" t="s">
        <v>264</v>
      </c>
      <c r="C42" s="331">
        <v>0.8</v>
      </c>
    </row>
    <row r="43" spans="2:22" ht="15.75" customHeight="1"/>
    <row r="44" spans="2:22" ht="15.75" customHeight="1">
      <c r="B44" s="730" t="s">
        <v>265</v>
      </c>
      <c r="C44" s="667"/>
    </row>
    <row r="45" spans="2:22" ht="15.75" customHeight="1">
      <c r="B45" s="309" t="s">
        <v>240</v>
      </c>
      <c r="C45" s="310">
        <f>C37</f>
        <v>0</v>
      </c>
    </row>
    <row r="46" spans="2:22" ht="15.75" customHeight="1">
      <c r="B46" s="309" t="s">
        <v>14</v>
      </c>
      <c r="C46" s="310">
        <f>C38</f>
        <v>0.3</v>
      </c>
    </row>
    <row r="47" spans="2:22" ht="15.75" customHeight="1">
      <c r="B47" s="309" t="s">
        <v>241</v>
      </c>
      <c r="C47" s="310">
        <f>C42+C37</f>
        <v>0.8</v>
      </c>
    </row>
    <row r="48" spans="2:22" ht="15.75" customHeight="1">
      <c r="B48" s="309" t="s">
        <v>242</v>
      </c>
      <c r="C48" s="310">
        <f>C42+C37</f>
        <v>0.8</v>
      </c>
    </row>
    <row r="49" spans="2:3" ht="15.75" customHeight="1">
      <c r="B49" s="309" t="s">
        <v>15</v>
      </c>
      <c r="C49" s="310">
        <f>C38</f>
        <v>0.3</v>
      </c>
    </row>
    <row r="50" spans="2:3" ht="15.75" customHeight="1">
      <c r="B50" s="309" t="s">
        <v>16</v>
      </c>
      <c r="C50" s="310">
        <f>C41+C38</f>
        <v>0.5</v>
      </c>
    </row>
    <row r="51" spans="2:3" ht="15.75" customHeight="1">
      <c r="B51" s="309" t="s">
        <v>17</v>
      </c>
      <c r="C51" s="310">
        <f>C42+C37</f>
        <v>0.8</v>
      </c>
    </row>
    <row r="52" spans="2:3" ht="15.75" customHeight="1">
      <c r="B52" s="309" t="s">
        <v>18</v>
      </c>
      <c r="C52" s="310">
        <f>C42+C37</f>
        <v>0.8</v>
      </c>
    </row>
    <row r="53" spans="2:3" ht="15.75" customHeight="1">
      <c r="B53" s="309" t="s">
        <v>19</v>
      </c>
      <c r="C53" s="310">
        <f>C37</f>
        <v>0</v>
      </c>
    </row>
    <row r="54" spans="2:3" ht="15.75" customHeight="1">
      <c r="B54" s="309" t="s">
        <v>20</v>
      </c>
      <c r="C54" s="310">
        <f>C42+C37</f>
        <v>0.8</v>
      </c>
    </row>
    <row r="55" spans="2:3" ht="15.75" customHeight="1">
      <c r="B55" s="456" t="s">
        <v>21</v>
      </c>
      <c r="C55" s="462">
        <f>C38</f>
        <v>0.3</v>
      </c>
    </row>
    <row r="56" spans="2:3" ht="15.75" customHeight="1"/>
    <row r="57" spans="2:3" ht="15.75" customHeight="1">
      <c r="B57" s="307" t="s">
        <v>266</v>
      </c>
      <c r="C57" s="308" t="s">
        <v>267</v>
      </c>
    </row>
    <row r="58" spans="2:3" ht="15.75" customHeight="1">
      <c r="B58" s="313"/>
      <c r="C58" s="332">
        <v>0.25</v>
      </c>
    </row>
    <row r="59" spans="2:3" ht="15.75" customHeight="1"/>
    <row r="60" spans="2:3" ht="15.75" customHeight="1">
      <c r="B60" s="333" t="s">
        <v>268</v>
      </c>
      <c r="C60" s="308" t="s">
        <v>75</v>
      </c>
    </row>
    <row r="61" spans="2:3" ht="15.75" customHeight="1">
      <c r="B61" s="309" t="s">
        <v>240</v>
      </c>
      <c r="C61" s="310">
        <f t="shared" ref="C61:C71" si="3">C45*$C$58</f>
        <v>0</v>
      </c>
    </row>
    <row r="62" spans="2:3" ht="15.75" customHeight="1">
      <c r="B62" s="309" t="s">
        <v>14</v>
      </c>
      <c r="C62" s="335">
        <f t="shared" si="3"/>
        <v>7.4999999999999997E-2</v>
      </c>
    </row>
    <row r="63" spans="2:3" ht="15.75" customHeight="1">
      <c r="B63" s="309" t="s">
        <v>241</v>
      </c>
      <c r="C63" s="310">
        <f t="shared" si="3"/>
        <v>0.2</v>
      </c>
    </row>
    <row r="64" spans="2:3" ht="15.75" customHeight="1">
      <c r="B64" s="309" t="s">
        <v>242</v>
      </c>
      <c r="C64" s="310">
        <f t="shared" si="3"/>
        <v>0.2</v>
      </c>
    </row>
    <row r="65" spans="2:22" ht="15.75" customHeight="1">
      <c r="B65" s="309" t="s">
        <v>15</v>
      </c>
      <c r="C65" s="335">
        <f t="shared" si="3"/>
        <v>7.4999999999999997E-2</v>
      </c>
    </row>
    <row r="66" spans="2:22" ht="15.75" customHeight="1">
      <c r="B66" s="309" t="s">
        <v>16</v>
      </c>
      <c r="C66" s="335">
        <f t="shared" si="3"/>
        <v>0.125</v>
      </c>
    </row>
    <row r="67" spans="2:22" ht="15.75" customHeight="1">
      <c r="B67" s="309" t="s">
        <v>17</v>
      </c>
      <c r="C67" s="310">
        <f t="shared" si="3"/>
        <v>0.2</v>
      </c>
    </row>
    <row r="68" spans="2:22" ht="15.75" customHeight="1">
      <c r="B68" s="309" t="s">
        <v>18</v>
      </c>
      <c r="C68" s="310">
        <f t="shared" si="3"/>
        <v>0.2</v>
      </c>
    </row>
    <row r="69" spans="2:22" ht="15.75" customHeight="1">
      <c r="B69" s="309" t="s">
        <v>19</v>
      </c>
      <c r="C69" s="310">
        <f t="shared" si="3"/>
        <v>0</v>
      </c>
    </row>
    <row r="70" spans="2:22" ht="15.75" customHeight="1">
      <c r="B70" s="309" t="s">
        <v>20</v>
      </c>
      <c r="C70" s="310">
        <f t="shared" si="3"/>
        <v>0.2</v>
      </c>
    </row>
    <row r="71" spans="2:22" ht="15.75" customHeight="1">
      <c r="B71" s="456" t="s">
        <v>21</v>
      </c>
      <c r="C71" s="335">
        <f t="shared" si="3"/>
        <v>7.4999999999999997E-2</v>
      </c>
    </row>
    <row r="72" spans="2:22" ht="15.75" customHeight="1"/>
    <row r="73" spans="2:22" ht="15.75" customHeight="1">
      <c r="B73" s="463" t="s">
        <v>269</v>
      </c>
      <c r="C73" s="308" t="s">
        <v>270</v>
      </c>
    </row>
    <row r="74" spans="2:22" ht="15.75" customHeight="1">
      <c r="B74" s="313"/>
      <c r="C74" s="332">
        <v>0.35</v>
      </c>
    </row>
    <row r="75" spans="2:22" ht="15.75" customHeight="1"/>
    <row r="76" spans="2:22" ht="15.75" customHeight="1">
      <c r="B76" s="336" t="s">
        <v>271</v>
      </c>
      <c r="C76" s="317" t="s">
        <v>246</v>
      </c>
      <c r="D76" s="316">
        <v>2005</v>
      </c>
      <c r="E76" s="316">
        <v>2006</v>
      </c>
      <c r="F76" s="316">
        <v>2007</v>
      </c>
      <c r="G76" s="316">
        <v>2008</v>
      </c>
      <c r="H76" s="316">
        <v>2009</v>
      </c>
      <c r="I76" s="316">
        <v>2010</v>
      </c>
      <c r="J76" s="316">
        <v>2011</v>
      </c>
      <c r="K76" s="316">
        <v>2012</v>
      </c>
      <c r="L76" s="316">
        <v>2013</v>
      </c>
      <c r="M76" s="316">
        <v>2014</v>
      </c>
      <c r="N76" s="316">
        <v>2015</v>
      </c>
      <c r="O76" s="316">
        <v>2016</v>
      </c>
      <c r="P76" s="316">
        <v>2017</v>
      </c>
      <c r="Q76" s="316">
        <v>2018</v>
      </c>
      <c r="R76" s="317">
        <v>2019</v>
      </c>
      <c r="S76" s="317">
        <v>2020</v>
      </c>
      <c r="T76" s="464">
        <v>2021</v>
      </c>
      <c r="U76" s="318">
        <v>2022</v>
      </c>
      <c r="V76" s="367">
        <v>2023</v>
      </c>
    </row>
    <row r="77" spans="2:22" ht="15.75" customHeight="1">
      <c r="B77" s="448" t="s">
        <v>0</v>
      </c>
      <c r="C77" s="152" t="s">
        <v>272</v>
      </c>
      <c r="D77" s="325">
        <f t="shared" ref="D77:V77" si="4">((D33-$C$74)*$C$71)/10^3</f>
        <v>104.12899874999998</v>
      </c>
      <c r="E77" s="325">
        <f t="shared" si="4"/>
        <v>104.12899874999998</v>
      </c>
      <c r="F77" s="325">
        <f t="shared" si="4"/>
        <v>104.12899874999998</v>
      </c>
      <c r="G77" s="325">
        <f t="shared" si="4"/>
        <v>104.12899874999998</v>
      </c>
      <c r="H77" s="325">
        <f t="shared" si="4"/>
        <v>104.12899874999998</v>
      </c>
      <c r="I77" s="325">
        <f t="shared" si="4"/>
        <v>104.12899874999998</v>
      </c>
      <c r="J77" s="325">
        <f t="shared" si="4"/>
        <v>104.12899874999998</v>
      </c>
      <c r="K77" s="325">
        <f t="shared" si="4"/>
        <v>104.12899874999998</v>
      </c>
      <c r="L77" s="325">
        <f t="shared" si="4"/>
        <v>104.12899874999998</v>
      </c>
      <c r="M77" s="325">
        <f t="shared" si="4"/>
        <v>104.12899874999998</v>
      </c>
      <c r="N77" s="325">
        <f t="shared" si="4"/>
        <v>104.12899874999998</v>
      </c>
      <c r="O77" s="325">
        <f t="shared" si="4"/>
        <v>104.12899874999998</v>
      </c>
      <c r="P77" s="325">
        <f t="shared" si="4"/>
        <v>104.12899874999998</v>
      </c>
      <c r="Q77" s="325">
        <f t="shared" si="4"/>
        <v>104.12899874999998</v>
      </c>
      <c r="R77" s="325">
        <f t="shared" si="4"/>
        <v>104.12899874999998</v>
      </c>
      <c r="S77" s="325">
        <f t="shared" si="4"/>
        <v>104.12899874999998</v>
      </c>
      <c r="T77" s="325">
        <f t="shared" si="4"/>
        <v>104.12899874999998</v>
      </c>
      <c r="U77" s="325">
        <f t="shared" si="4"/>
        <v>104.12899874999998</v>
      </c>
      <c r="V77" s="325">
        <f t="shared" si="4"/>
        <v>104.12899874999998</v>
      </c>
    </row>
    <row r="78" spans="2:22" ht="15.75" customHeight="1">
      <c r="B78" s="376"/>
      <c r="C78" s="361"/>
      <c r="D78" s="371"/>
      <c r="E78" s="371"/>
      <c r="F78" s="371"/>
      <c r="G78" s="371"/>
      <c r="H78" s="371"/>
      <c r="I78" s="371"/>
      <c r="J78" s="371"/>
      <c r="K78" s="371"/>
      <c r="L78" s="371"/>
      <c r="M78" s="371"/>
      <c r="N78" s="371"/>
      <c r="O78" s="371"/>
      <c r="P78" s="371"/>
      <c r="Q78" s="374"/>
    </row>
    <row r="79" spans="2:22" ht="15.75" customHeight="1">
      <c r="B79" s="315" t="s">
        <v>273</v>
      </c>
      <c r="C79" s="316" t="s">
        <v>274</v>
      </c>
      <c r="D79" s="316">
        <v>2005</v>
      </c>
      <c r="E79" s="316">
        <v>2006</v>
      </c>
      <c r="F79" s="316">
        <v>2007</v>
      </c>
      <c r="G79" s="316">
        <v>2008</v>
      </c>
      <c r="H79" s="316">
        <v>2009</v>
      </c>
      <c r="I79" s="316">
        <v>2010</v>
      </c>
      <c r="J79" s="316">
        <v>2011</v>
      </c>
      <c r="K79" s="316">
        <v>2012</v>
      </c>
      <c r="L79" s="316">
        <v>2013</v>
      </c>
      <c r="M79" s="316">
        <v>2014</v>
      </c>
      <c r="N79" s="316">
        <v>2015</v>
      </c>
      <c r="O79" s="316">
        <v>2016</v>
      </c>
      <c r="P79" s="316">
        <v>2017</v>
      </c>
      <c r="Q79" s="316">
        <v>2018</v>
      </c>
      <c r="R79" s="317">
        <v>2019</v>
      </c>
      <c r="S79" s="317">
        <v>2020</v>
      </c>
      <c r="T79" s="317">
        <v>2021</v>
      </c>
      <c r="U79" s="318">
        <v>2022</v>
      </c>
      <c r="V79" s="367">
        <v>2023</v>
      </c>
    </row>
    <row r="80" spans="2:22" ht="15.75" customHeight="1">
      <c r="B80" s="319" t="s">
        <v>464</v>
      </c>
      <c r="C80" s="320" t="s">
        <v>253</v>
      </c>
      <c r="D80" s="326">
        <v>0</v>
      </c>
      <c r="E80" s="326">
        <v>0</v>
      </c>
      <c r="F80" s="326">
        <v>0</v>
      </c>
      <c r="G80" s="326">
        <v>0</v>
      </c>
      <c r="H80" s="326">
        <v>0</v>
      </c>
      <c r="I80" s="326">
        <v>0</v>
      </c>
      <c r="J80" s="326">
        <v>0</v>
      </c>
      <c r="K80" s="326">
        <v>0</v>
      </c>
      <c r="L80" s="326">
        <v>0</v>
      </c>
      <c r="M80" s="326">
        <v>0</v>
      </c>
      <c r="N80" s="326">
        <v>0</v>
      </c>
      <c r="O80" s="326">
        <v>0</v>
      </c>
      <c r="P80" s="326">
        <v>0</v>
      </c>
      <c r="Q80" s="326">
        <v>0</v>
      </c>
      <c r="R80" s="79">
        <v>0</v>
      </c>
      <c r="S80" s="79">
        <v>0</v>
      </c>
      <c r="T80" s="79">
        <v>0</v>
      </c>
      <c r="U80" s="79">
        <v>0</v>
      </c>
      <c r="V80" s="79">
        <v>0</v>
      </c>
    </row>
    <row r="81" spans="2:22" ht="15.75" customHeight="1"/>
    <row r="82" spans="2:22" ht="15.75" customHeight="1">
      <c r="B82" s="315" t="s">
        <v>275</v>
      </c>
      <c r="C82" s="316" t="s">
        <v>272</v>
      </c>
      <c r="D82" s="316">
        <v>2005</v>
      </c>
      <c r="E82" s="316">
        <v>2006</v>
      </c>
      <c r="F82" s="316">
        <v>2007</v>
      </c>
      <c r="G82" s="316">
        <v>2008</v>
      </c>
      <c r="H82" s="316">
        <v>2009</v>
      </c>
      <c r="I82" s="316">
        <v>2010</v>
      </c>
      <c r="J82" s="316">
        <v>2011</v>
      </c>
      <c r="K82" s="316">
        <v>2012</v>
      </c>
      <c r="L82" s="316">
        <v>2013</v>
      </c>
      <c r="M82" s="316">
        <v>2014</v>
      </c>
      <c r="N82" s="316">
        <v>2015</v>
      </c>
      <c r="O82" s="316">
        <v>2016</v>
      </c>
      <c r="P82" s="316">
        <v>2017</v>
      </c>
      <c r="Q82" s="316">
        <v>2018</v>
      </c>
      <c r="R82" s="317">
        <v>2019</v>
      </c>
      <c r="S82" s="317">
        <v>2020</v>
      </c>
      <c r="T82" s="317">
        <v>2021</v>
      </c>
      <c r="U82" s="318">
        <v>2022</v>
      </c>
      <c r="V82" s="367">
        <v>2023</v>
      </c>
    </row>
    <row r="83" spans="2:22" ht="15.75" customHeight="1">
      <c r="B83" s="448" t="s">
        <v>0</v>
      </c>
      <c r="C83" s="326"/>
      <c r="D83" s="424">
        <f t="shared" ref="D83:V83" si="5">D77*(1-D80)</f>
        <v>104.12899874999998</v>
      </c>
      <c r="E83" s="424">
        <f t="shared" si="5"/>
        <v>104.12899874999998</v>
      </c>
      <c r="F83" s="424">
        <f t="shared" si="5"/>
        <v>104.12899874999998</v>
      </c>
      <c r="G83" s="424">
        <f t="shared" si="5"/>
        <v>104.12899874999998</v>
      </c>
      <c r="H83" s="424">
        <f t="shared" si="5"/>
        <v>104.12899874999998</v>
      </c>
      <c r="I83" s="424">
        <f t="shared" si="5"/>
        <v>104.12899874999998</v>
      </c>
      <c r="J83" s="424">
        <f t="shared" si="5"/>
        <v>104.12899874999998</v>
      </c>
      <c r="K83" s="424">
        <f t="shared" si="5"/>
        <v>104.12899874999998</v>
      </c>
      <c r="L83" s="424">
        <f t="shared" si="5"/>
        <v>104.12899874999998</v>
      </c>
      <c r="M83" s="424">
        <f t="shared" si="5"/>
        <v>104.12899874999998</v>
      </c>
      <c r="N83" s="424">
        <f t="shared" si="5"/>
        <v>104.12899874999998</v>
      </c>
      <c r="O83" s="424">
        <f t="shared" si="5"/>
        <v>104.12899874999998</v>
      </c>
      <c r="P83" s="424">
        <f t="shared" si="5"/>
        <v>104.12899874999998</v>
      </c>
      <c r="Q83" s="424">
        <f t="shared" si="5"/>
        <v>104.12899874999998</v>
      </c>
      <c r="R83" s="424">
        <f t="shared" si="5"/>
        <v>104.12899874999998</v>
      </c>
      <c r="S83" s="424">
        <f t="shared" si="5"/>
        <v>104.12899874999998</v>
      </c>
      <c r="T83" s="424">
        <f t="shared" si="5"/>
        <v>104.12899874999998</v>
      </c>
      <c r="U83" s="424">
        <f t="shared" si="5"/>
        <v>104.12899874999998</v>
      </c>
      <c r="V83" s="424">
        <f t="shared" si="5"/>
        <v>104.12899874999998</v>
      </c>
    </row>
    <row r="84" spans="2:22" ht="15.75" customHeight="1">
      <c r="B84" s="376"/>
      <c r="C84" s="361"/>
      <c r="D84" s="371"/>
      <c r="E84" s="371"/>
      <c r="F84" s="371"/>
      <c r="G84" s="371"/>
      <c r="H84" s="371"/>
      <c r="I84" s="371"/>
      <c r="J84" s="371"/>
      <c r="K84" s="371"/>
      <c r="L84" s="371"/>
      <c r="M84" s="371"/>
      <c r="N84" s="371"/>
      <c r="O84" s="371"/>
      <c r="P84" s="371"/>
      <c r="Q84" s="371"/>
    </row>
    <row r="85" spans="2:22" ht="15.75" customHeight="1">
      <c r="B85" s="315" t="s">
        <v>465</v>
      </c>
      <c r="C85" s="316" t="s">
        <v>272</v>
      </c>
      <c r="D85" s="316">
        <v>2005</v>
      </c>
      <c r="E85" s="316">
        <v>2006</v>
      </c>
      <c r="F85" s="316">
        <v>2007</v>
      </c>
      <c r="G85" s="316">
        <v>2008</v>
      </c>
      <c r="H85" s="316">
        <v>2009</v>
      </c>
      <c r="I85" s="316">
        <v>2010</v>
      </c>
      <c r="J85" s="316">
        <v>2011</v>
      </c>
      <c r="K85" s="316">
        <v>2012</v>
      </c>
      <c r="L85" s="316">
        <v>2013</v>
      </c>
      <c r="M85" s="316">
        <v>2014</v>
      </c>
      <c r="N85" s="316">
        <v>2015</v>
      </c>
      <c r="O85" s="316">
        <v>2016</v>
      </c>
      <c r="P85" s="316">
        <v>2017</v>
      </c>
      <c r="Q85" s="316">
        <v>2018</v>
      </c>
      <c r="R85" s="317">
        <v>2019</v>
      </c>
      <c r="S85" s="317">
        <v>2020</v>
      </c>
      <c r="T85" s="317">
        <v>2021</v>
      </c>
      <c r="U85" s="318">
        <v>2022</v>
      </c>
      <c r="V85" s="367">
        <v>2023</v>
      </c>
    </row>
    <row r="86" spans="2:22" ht="15.75" customHeight="1">
      <c r="B86" s="448" t="s">
        <v>0</v>
      </c>
      <c r="C86" s="320"/>
      <c r="D86" s="325">
        <f t="shared" ref="D86:V86" si="6">D83*21</f>
        <v>2186.7089737499996</v>
      </c>
      <c r="E86" s="325">
        <f t="shared" si="6"/>
        <v>2186.7089737499996</v>
      </c>
      <c r="F86" s="325">
        <f t="shared" si="6"/>
        <v>2186.7089737499996</v>
      </c>
      <c r="G86" s="325">
        <f t="shared" si="6"/>
        <v>2186.7089737499996</v>
      </c>
      <c r="H86" s="325">
        <f t="shared" si="6"/>
        <v>2186.7089737499996</v>
      </c>
      <c r="I86" s="325">
        <f t="shared" si="6"/>
        <v>2186.7089737499996</v>
      </c>
      <c r="J86" s="325">
        <f t="shared" si="6"/>
        <v>2186.7089737499996</v>
      </c>
      <c r="K86" s="325">
        <f t="shared" si="6"/>
        <v>2186.7089737499996</v>
      </c>
      <c r="L86" s="325">
        <f t="shared" si="6"/>
        <v>2186.7089737499996</v>
      </c>
      <c r="M86" s="325">
        <f t="shared" si="6"/>
        <v>2186.7089737499996</v>
      </c>
      <c r="N86" s="325">
        <f t="shared" si="6"/>
        <v>2186.7089737499996</v>
      </c>
      <c r="O86" s="325">
        <f t="shared" si="6"/>
        <v>2186.7089737499996</v>
      </c>
      <c r="P86" s="325">
        <f t="shared" si="6"/>
        <v>2186.7089737499996</v>
      </c>
      <c r="Q86" s="325">
        <f t="shared" si="6"/>
        <v>2186.7089737499996</v>
      </c>
      <c r="R86" s="325">
        <f t="shared" si="6"/>
        <v>2186.7089737499996</v>
      </c>
      <c r="S86" s="325">
        <f t="shared" si="6"/>
        <v>2186.7089737499996</v>
      </c>
      <c r="T86" s="325">
        <f t="shared" si="6"/>
        <v>2186.7089737499996</v>
      </c>
      <c r="U86" s="325">
        <f t="shared" si="6"/>
        <v>2186.7089737499996</v>
      </c>
      <c r="V86" s="325">
        <f t="shared" si="6"/>
        <v>2186.7089737499996</v>
      </c>
    </row>
    <row r="87" spans="2:22" ht="15.75" customHeight="1">
      <c r="B87" s="371"/>
      <c r="C87" s="361"/>
      <c r="D87" s="371"/>
      <c r="E87" s="371"/>
      <c r="F87" s="371"/>
      <c r="G87" s="371"/>
      <c r="H87" s="371"/>
      <c r="I87" s="371"/>
      <c r="J87" s="371"/>
      <c r="K87" s="371"/>
      <c r="L87" s="371"/>
      <c r="M87" s="371"/>
      <c r="N87" s="371"/>
      <c r="O87" s="371"/>
      <c r="P87" s="371"/>
      <c r="Q87" s="371"/>
    </row>
    <row r="88" spans="2:22" ht="15.75" customHeight="1">
      <c r="B88" s="480" t="s">
        <v>466</v>
      </c>
      <c r="C88" s="480" t="s">
        <v>272</v>
      </c>
      <c r="D88" s="480">
        <v>2005</v>
      </c>
      <c r="E88" s="480">
        <v>2006</v>
      </c>
      <c r="F88" s="480">
        <v>2007</v>
      </c>
      <c r="G88" s="480">
        <v>2008</v>
      </c>
      <c r="H88" s="480">
        <v>2009</v>
      </c>
      <c r="I88" s="480">
        <v>2010</v>
      </c>
      <c r="J88" s="480">
        <v>2011</v>
      </c>
      <c r="K88" s="480">
        <v>2012</v>
      </c>
      <c r="L88" s="480">
        <v>2013</v>
      </c>
      <c r="M88" s="480">
        <v>2014</v>
      </c>
      <c r="N88" s="480">
        <v>2015</v>
      </c>
      <c r="O88" s="480">
        <v>2016</v>
      </c>
      <c r="P88" s="480">
        <v>2017</v>
      </c>
      <c r="Q88" s="480">
        <v>2018</v>
      </c>
      <c r="R88" s="483">
        <v>2019</v>
      </c>
      <c r="S88" s="483">
        <v>2020</v>
      </c>
      <c r="T88" s="483">
        <v>2021</v>
      </c>
      <c r="U88" s="484">
        <v>2022</v>
      </c>
      <c r="V88" s="484">
        <v>2023</v>
      </c>
    </row>
    <row r="89" spans="2:22" ht="15.75" customHeight="1">
      <c r="B89" s="486"/>
      <c r="C89" s="486"/>
      <c r="D89" s="491">
        <f t="shared" ref="D89:V89" si="7">D83*27.9</f>
        <v>2905.1990651249994</v>
      </c>
      <c r="E89" s="491">
        <f t="shared" si="7"/>
        <v>2905.1990651249994</v>
      </c>
      <c r="F89" s="491">
        <f t="shared" si="7"/>
        <v>2905.1990651249994</v>
      </c>
      <c r="G89" s="491">
        <f t="shared" si="7"/>
        <v>2905.1990651249994</v>
      </c>
      <c r="H89" s="491">
        <f t="shared" si="7"/>
        <v>2905.1990651249994</v>
      </c>
      <c r="I89" s="491">
        <f t="shared" si="7"/>
        <v>2905.1990651249994</v>
      </c>
      <c r="J89" s="491">
        <f t="shared" si="7"/>
        <v>2905.1990651249994</v>
      </c>
      <c r="K89" s="491">
        <f t="shared" si="7"/>
        <v>2905.1990651249994</v>
      </c>
      <c r="L89" s="491">
        <f t="shared" si="7"/>
        <v>2905.1990651249994</v>
      </c>
      <c r="M89" s="491">
        <f t="shared" si="7"/>
        <v>2905.1990651249994</v>
      </c>
      <c r="N89" s="491">
        <f t="shared" si="7"/>
        <v>2905.1990651249994</v>
      </c>
      <c r="O89" s="491">
        <f t="shared" si="7"/>
        <v>2905.1990651249994</v>
      </c>
      <c r="P89" s="491">
        <f t="shared" si="7"/>
        <v>2905.1990651249994</v>
      </c>
      <c r="Q89" s="491">
        <f t="shared" si="7"/>
        <v>2905.1990651249994</v>
      </c>
      <c r="R89" s="491">
        <f t="shared" si="7"/>
        <v>2905.1990651249994</v>
      </c>
      <c r="S89" s="491">
        <f t="shared" si="7"/>
        <v>2905.1990651249994</v>
      </c>
      <c r="T89" s="491">
        <f t="shared" si="7"/>
        <v>2905.1990651249994</v>
      </c>
      <c r="U89" s="491">
        <f t="shared" si="7"/>
        <v>2905.1990651249994</v>
      </c>
      <c r="V89" s="491">
        <f t="shared" si="7"/>
        <v>2905.1990651249994</v>
      </c>
    </row>
    <row r="90" spans="2:22" ht="15.75" customHeight="1">
      <c r="B90" s="486"/>
      <c r="C90" s="486"/>
      <c r="D90" s="486"/>
      <c r="E90" s="486"/>
      <c r="F90" s="486"/>
      <c r="G90" s="486"/>
      <c r="H90" s="486"/>
      <c r="I90" s="486"/>
      <c r="J90" s="486"/>
      <c r="K90" s="486"/>
      <c r="L90" s="486"/>
      <c r="M90" s="486"/>
      <c r="N90" s="486"/>
      <c r="O90" s="486"/>
      <c r="P90" s="486"/>
      <c r="Q90" s="486"/>
      <c r="R90" s="486"/>
      <c r="S90" s="486"/>
      <c r="T90" s="486"/>
      <c r="U90" s="486"/>
      <c r="V90" s="486"/>
    </row>
    <row r="91" spans="2:22" ht="15.75" customHeight="1">
      <c r="B91" s="486"/>
      <c r="C91" s="486"/>
      <c r="D91" s="486"/>
      <c r="E91" s="486"/>
      <c r="F91" s="486"/>
      <c r="G91" s="486"/>
      <c r="H91" s="486"/>
      <c r="I91" s="486"/>
      <c r="J91" s="486"/>
      <c r="K91" s="486"/>
      <c r="L91" s="486"/>
      <c r="M91" s="486"/>
      <c r="N91" s="486"/>
      <c r="O91" s="486"/>
      <c r="P91" s="486"/>
      <c r="Q91" s="486"/>
      <c r="R91" s="486"/>
      <c r="S91" s="486"/>
      <c r="T91" s="486"/>
      <c r="U91" s="486"/>
      <c r="V91" s="486"/>
    </row>
    <row r="92" spans="2:22" ht="15.75" customHeight="1">
      <c r="B92" s="480" t="s">
        <v>467</v>
      </c>
      <c r="C92" s="480" t="s">
        <v>272</v>
      </c>
      <c r="D92" s="480">
        <v>2005</v>
      </c>
      <c r="E92" s="480">
        <v>2006</v>
      </c>
      <c r="F92" s="480">
        <v>2007</v>
      </c>
      <c r="G92" s="480">
        <v>2008</v>
      </c>
      <c r="H92" s="480">
        <v>2009</v>
      </c>
      <c r="I92" s="480">
        <v>2010</v>
      </c>
      <c r="J92" s="480">
        <v>2011</v>
      </c>
      <c r="K92" s="480">
        <v>2012</v>
      </c>
      <c r="L92" s="480">
        <v>2013</v>
      </c>
      <c r="M92" s="480">
        <v>2014</v>
      </c>
      <c r="N92" s="480">
        <v>2015</v>
      </c>
      <c r="O92" s="480">
        <v>2016</v>
      </c>
      <c r="P92" s="480">
        <v>2017</v>
      </c>
      <c r="Q92" s="480">
        <v>2018</v>
      </c>
      <c r="R92" s="483">
        <v>2019</v>
      </c>
      <c r="S92" s="483">
        <v>2020</v>
      </c>
      <c r="T92" s="483">
        <v>2021</v>
      </c>
      <c r="U92" s="484">
        <v>2022</v>
      </c>
      <c r="V92" s="484">
        <v>2023</v>
      </c>
    </row>
    <row r="93" spans="2:22" ht="15.75" customHeight="1">
      <c r="D93" s="56">
        <f t="shared" ref="D93:V93" si="8">D83*5.38</f>
        <v>560.21401327499984</v>
      </c>
      <c r="E93" s="56">
        <f t="shared" si="8"/>
        <v>560.21401327499984</v>
      </c>
      <c r="F93" s="56">
        <f t="shared" si="8"/>
        <v>560.21401327499984</v>
      </c>
      <c r="G93" s="56">
        <f t="shared" si="8"/>
        <v>560.21401327499984</v>
      </c>
      <c r="H93" s="56">
        <f t="shared" si="8"/>
        <v>560.21401327499984</v>
      </c>
      <c r="I93" s="56">
        <f t="shared" si="8"/>
        <v>560.21401327499984</v>
      </c>
      <c r="J93" s="56">
        <f t="shared" si="8"/>
        <v>560.21401327499984</v>
      </c>
      <c r="K93" s="56">
        <f t="shared" si="8"/>
        <v>560.21401327499984</v>
      </c>
      <c r="L93" s="56">
        <f t="shared" si="8"/>
        <v>560.21401327499984</v>
      </c>
      <c r="M93" s="56">
        <f t="shared" si="8"/>
        <v>560.21401327499984</v>
      </c>
      <c r="N93" s="56">
        <f t="shared" si="8"/>
        <v>560.21401327499984</v>
      </c>
      <c r="O93" s="56">
        <f t="shared" si="8"/>
        <v>560.21401327499984</v>
      </c>
      <c r="P93" s="56">
        <f t="shared" si="8"/>
        <v>560.21401327499984</v>
      </c>
      <c r="Q93" s="56">
        <f t="shared" si="8"/>
        <v>560.21401327499984</v>
      </c>
      <c r="R93" s="56">
        <f t="shared" si="8"/>
        <v>560.21401327499984</v>
      </c>
      <c r="S93" s="56">
        <f t="shared" si="8"/>
        <v>560.21401327499984</v>
      </c>
      <c r="T93" s="56">
        <f t="shared" si="8"/>
        <v>560.21401327499984</v>
      </c>
      <c r="U93" s="56">
        <f t="shared" si="8"/>
        <v>560.21401327499984</v>
      </c>
      <c r="V93" s="56">
        <f t="shared" si="8"/>
        <v>560.21401327499984</v>
      </c>
    </row>
    <row r="94" spans="2:22" ht="15.75" customHeight="1">
      <c r="B94" s="510"/>
      <c r="C94" s="510"/>
      <c r="D94" s="510"/>
      <c r="E94" s="510"/>
      <c r="F94" s="510"/>
      <c r="G94" s="510"/>
      <c r="H94" s="510"/>
      <c r="I94" s="510"/>
      <c r="J94" s="510"/>
      <c r="K94" s="510"/>
      <c r="L94" s="510"/>
      <c r="M94" s="510"/>
      <c r="N94" s="510"/>
      <c r="O94" s="510"/>
      <c r="P94" s="510"/>
      <c r="Q94" s="510"/>
      <c r="R94" s="510"/>
      <c r="S94" s="510"/>
      <c r="T94" s="510"/>
      <c r="U94" s="510"/>
      <c r="V94" s="510"/>
    </row>
    <row r="95" spans="2:22" ht="15.75" customHeight="1">
      <c r="B95" s="510"/>
      <c r="C95" s="510"/>
      <c r="D95" s="510"/>
      <c r="E95" s="510"/>
      <c r="F95" s="510"/>
      <c r="G95" s="510"/>
      <c r="H95" s="510"/>
      <c r="I95" s="510"/>
      <c r="J95" s="510"/>
      <c r="K95" s="510"/>
      <c r="L95" s="510"/>
      <c r="M95" s="510"/>
      <c r="N95" s="510"/>
      <c r="O95" s="510"/>
      <c r="P95" s="510"/>
      <c r="Q95" s="510"/>
      <c r="R95" s="510"/>
      <c r="S95" s="510"/>
      <c r="T95" s="510"/>
      <c r="U95" s="510"/>
      <c r="V95" s="510"/>
    </row>
    <row r="96" spans="2:22" ht="15.75" customHeight="1">
      <c r="B96" s="510"/>
      <c r="C96" s="510"/>
      <c r="D96" s="510"/>
      <c r="E96" s="510"/>
      <c r="F96" s="510"/>
      <c r="G96" s="510"/>
      <c r="H96" s="510"/>
      <c r="I96" s="510"/>
      <c r="J96" s="510"/>
      <c r="K96" s="510"/>
      <c r="L96" s="510"/>
      <c r="M96" s="510"/>
      <c r="N96" s="510"/>
      <c r="O96" s="510"/>
      <c r="P96" s="510"/>
      <c r="Q96" s="510"/>
      <c r="R96" s="510"/>
      <c r="S96" s="510"/>
      <c r="T96" s="510"/>
      <c r="U96" s="510"/>
      <c r="V96" s="510"/>
    </row>
    <row r="97" spans="2:22" ht="15.75" customHeight="1">
      <c r="B97" s="510"/>
      <c r="C97" s="510"/>
      <c r="D97" s="510"/>
      <c r="E97" s="510"/>
      <c r="F97" s="510"/>
      <c r="G97" s="510"/>
      <c r="H97" s="510"/>
      <c r="I97" s="510"/>
      <c r="J97" s="510"/>
      <c r="K97" s="510"/>
      <c r="L97" s="510"/>
      <c r="M97" s="510"/>
      <c r="N97" s="510"/>
      <c r="O97" s="510"/>
      <c r="P97" s="510"/>
      <c r="Q97" s="510"/>
      <c r="R97" s="510"/>
      <c r="S97" s="510"/>
      <c r="T97" s="510"/>
      <c r="U97" s="510"/>
      <c r="V97" s="510"/>
    </row>
    <row r="98" spans="2:22" ht="15.75" customHeight="1"/>
    <row r="99" spans="2:22" ht="15.75" customHeight="1"/>
    <row r="100" spans="2:22" ht="15.75" customHeight="1"/>
    <row r="101" spans="2:22" ht="15.75" customHeight="1"/>
    <row r="102" spans="2:22" ht="15.75" customHeight="1"/>
    <row r="103" spans="2:22" ht="15.75" customHeight="1"/>
    <row r="104" spans="2:22" ht="15.75" customHeight="1"/>
    <row r="105" spans="2:22" ht="15.75" customHeight="1"/>
    <row r="106" spans="2:22" ht="15.75" customHeight="1"/>
    <row r="107" spans="2:22" ht="15.75" customHeight="1"/>
    <row r="108" spans="2:22" ht="15.75" customHeight="1"/>
    <row r="109" spans="2:22" ht="15.75" customHeight="1"/>
    <row r="110" spans="2:22" ht="15.75" customHeight="1"/>
    <row r="111" spans="2:22" ht="15.75" customHeight="1"/>
    <row r="112" spans="2: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B2:C2"/>
    <mergeCell ref="B44:C4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00FC-3ABA-4066-A259-1F825B5848FD}">
  <sheetPr>
    <tabColor theme="4" tint="0.59999389629810485"/>
    <outlinePr summaryBelow="0" summaryRight="0"/>
  </sheetPr>
  <dimension ref="A1:V1003"/>
  <sheetViews>
    <sheetView workbookViewId="0">
      <selection activeCell="B103" sqref="B103:B105"/>
    </sheetView>
  </sheetViews>
  <sheetFormatPr defaultColWidth="12.6640625" defaultRowHeight="15" customHeight="1"/>
  <cols>
    <col min="1" max="1" width="26.21875" style="10" customWidth="1"/>
    <col min="2" max="2" width="12.88671875" style="10" customWidth="1"/>
    <col min="3" max="3" width="72.109375" style="10" customWidth="1"/>
    <col min="4" max="4" width="21.21875" style="10" customWidth="1"/>
    <col min="5" max="5" width="22" style="10" customWidth="1"/>
    <col min="6" max="6" width="21.77734375" style="10" customWidth="1"/>
    <col min="7" max="16384" width="12.6640625" style="10"/>
  </cols>
  <sheetData>
    <row r="1" spans="1:22" ht="15.75" customHeight="1">
      <c r="A1" s="738" t="s">
        <v>468</v>
      </c>
      <c r="B1" s="688"/>
      <c r="C1" s="348"/>
      <c r="D1" s="348"/>
      <c r="E1" s="348"/>
      <c r="F1" s="348"/>
      <c r="G1" s="348"/>
      <c r="H1" s="348"/>
      <c r="I1" s="348"/>
      <c r="J1" s="348"/>
      <c r="K1" s="348"/>
      <c r="L1" s="348"/>
      <c r="M1" s="348"/>
      <c r="N1" s="348"/>
      <c r="O1" s="348"/>
      <c r="P1" s="348"/>
      <c r="Q1" s="348"/>
    </row>
    <row r="2" spans="1:22" ht="15.75" customHeight="1">
      <c r="A2" s="348"/>
      <c r="B2" s="348"/>
      <c r="C2" s="348"/>
      <c r="D2" s="348"/>
      <c r="E2" s="348"/>
      <c r="F2" s="348"/>
      <c r="G2" s="348"/>
      <c r="H2" s="348"/>
      <c r="I2" s="348"/>
      <c r="J2" s="348"/>
      <c r="K2" s="348"/>
      <c r="L2" s="348"/>
      <c r="M2" s="348"/>
      <c r="N2" s="348"/>
      <c r="O2" s="348"/>
      <c r="P2" s="348"/>
      <c r="Q2" s="348"/>
    </row>
    <row r="3" spans="1:22" ht="15.75" customHeight="1">
      <c r="A3" s="734" t="s">
        <v>8</v>
      </c>
      <c r="B3" s="732" t="s">
        <v>244</v>
      </c>
      <c r="C3" s="670"/>
      <c r="D3" s="670"/>
      <c r="E3" s="670"/>
      <c r="F3" s="670"/>
      <c r="G3" s="670"/>
      <c r="H3" s="670"/>
      <c r="I3" s="670"/>
      <c r="J3" s="670"/>
      <c r="K3" s="670"/>
      <c r="L3" s="670"/>
      <c r="M3" s="670"/>
      <c r="N3" s="670"/>
      <c r="O3" s="670"/>
      <c r="P3" s="670"/>
      <c r="Q3" s="672"/>
      <c r="R3" s="317"/>
      <c r="S3" s="317"/>
      <c r="T3" s="317"/>
    </row>
    <row r="4" spans="1:22" ht="15.75" customHeight="1">
      <c r="A4" s="665"/>
      <c r="B4" s="316" t="s">
        <v>276</v>
      </c>
      <c r="C4" s="345">
        <v>38108</v>
      </c>
      <c r="D4" s="345">
        <v>38504</v>
      </c>
      <c r="E4" s="345">
        <v>38899</v>
      </c>
      <c r="F4" s="345">
        <v>39295</v>
      </c>
      <c r="G4" s="345">
        <v>39692</v>
      </c>
      <c r="H4" s="346">
        <v>40087</v>
      </c>
      <c r="I4" s="346">
        <v>40483</v>
      </c>
      <c r="J4" s="346">
        <v>40878</v>
      </c>
      <c r="K4" s="316" t="s">
        <v>277</v>
      </c>
      <c r="L4" s="316" t="s">
        <v>278</v>
      </c>
      <c r="M4" s="316" t="s">
        <v>210</v>
      </c>
      <c r="N4" s="316" t="s">
        <v>279</v>
      </c>
      <c r="O4" s="316" t="s">
        <v>280</v>
      </c>
      <c r="P4" s="316" t="s">
        <v>281</v>
      </c>
      <c r="Q4" s="316" t="s">
        <v>282</v>
      </c>
      <c r="R4" s="317" t="s">
        <v>283</v>
      </c>
      <c r="S4" s="317" t="s">
        <v>284</v>
      </c>
      <c r="T4" s="317" t="s">
        <v>285</v>
      </c>
      <c r="U4" s="318" t="s">
        <v>286</v>
      </c>
      <c r="V4" s="367" t="s">
        <v>287</v>
      </c>
    </row>
    <row r="5" spans="1:22" ht="15.75" customHeight="1">
      <c r="A5" s="326" t="s">
        <v>0</v>
      </c>
      <c r="B5" s="326" t="s">
        <v>272</v>
      </c>
      <c r="C5" s="357">
        <f t="shared" ref="C5:V5" si="0">$D$127</f>
        <v>318328.54499999998</v>
      </c>
      <c r="D5" s="357">
        <f t="shared" si="0"/>
        <v>318328.54499999998</v>
      </c>
      <c r="E5" s="357">
        <f t="shared" si="0"/>
        <v>318328.54499999998</v>
      </c>
      <c r="F5" s="357">
        <f t="shared" si="0"/>
        <v>318328.54499999998</v>
      </c>
      <c r="G5" s="357">
        <f t="shared" si="0"/>
        <v>318328.54499999998</v>
      </c>
      <c r="H5" s="357">
        <f t="shared" si="0"/>
        <v>318328.54499999998</v>
      </c>
      <c r="I5" s="357">
        <f t="shared" si="0"/>
        <v>318328.54499999998</v>
      </c>
      <c r="J5" s="357">
        <f t="shared" si="0"/>
        <v>318328.54499999998</v>
      </c>
      <c r="K5" s="357">
        <f t="shared" si="0"/>
        <v>318328.54499999998</v>
      </c>
      <c r="L5" s="357">
        <f t="shared" si="0"/>
        <v>318328.54499999998</v>
      </c>
      <c r="M5" s="357">
        <f t="shared" si="0"/>
        <v>318328.54499999998</v>
      </c>
      <c r="N5" s="357">
        <f t="shared" si="0"/>
        <v>318328.54499999998</v>
      </c>
      <c r="O5" s="357">
        <f t="shared" si="0"/>
        <v>318328.54499999998</v>
      </c>
      <c r="P5" s="357">
        <f t="shared" si="0"/>
        <v>318328.54499999998</v>
      </c>
      <c r="Q5" s="357">
        <f t="shared" si="0"/>
        <v>318328.54499999998</v>
      </c>
      <c r="R5" s="357">
        <f t="shared" si="0"/>
        <v>318328.54499999998</v>
      </c>
      <c r="S5" s="357">
        <f t="shared" si="0"/>
        <v>318328.54499999998</v>
      </c>
      <c r="T5" s="357">
        <f t="shared" si="0"/>
        <v>318328.54499999998</v>
      </c>
      <c r="U5" s="357">
        <f t="shared" si="0"/>
        <v>318328.54499999998</v>
      </c>
      <c r="V5" s="357">
        <f t="shared" si="0"/>
        <v>318328.54499999998</v>
      </c>
    </row>
    <row r="6" spans="1:22" ht="15.75" customHeight="1"/>
    <row r="7" spans="1:22" ht="15.75" customHeight="1"/>
    <row r="8" spans="1:22" ht="15.75" customHeight="1">
      <c r="A8" s="55"/>
    </row>
    <row r="9" spans="1:22" ht="15.75" customHeight="1"/>
    <row r="10" spans="1:22" ht="15.75" customHeight="1">
      <c r="B10" s="465" t="s">
        <v>322</v>
      </c>
      <c r="C10" s="465" t="s">
        <v>323</v>
      </c>
      <c r="D10" s="465" t="s">
        <v>325</v>
      </c>
      <c r="E10" s="465" t="s">
        <v>326</v>
      </c>
      <c r="F10" s="465" t="s">
        <v>246</v>
      </c>
      <c r="G10" s="466"/>
    </row>
    <row r="11" spans="1:22" ht="15.75" customHeight="1">
      <c r="B11" s="467">
        <v>1</v>
      </c>
      <c r="C11" s="130" t="s">
        <v>469</v>
      </c>
      <c r="D11" s="468">
        <v>7.5</v>
      </c>
      <c r="E11" s="468">
        <v>8</v>
      </c>
      <c r="F11" s="469" t="s">
        <v>470</v>
      </c>
      <c r="G11" s="165"/>
    </row>
    <row r="12" spans="1:22" ht="15.75" customHeight="1">
      <c r="B12" s="467">
        <v>6</v>
      </c>
      <c r="C12" s="130" t="s">
        <v>471</v>
      </c>
      <c r="D12" s="468">
        <v>23</v>
      </c>
      <c r="E12" s="468">
        <v>29</v>
      </c>
      <c r="F12" s="469" t="s">
        <v>470</v>
      </c>
      <c r="G12" s="165"/>
    </row>
    <row r="13" spans="1:22" ht="15.75" customHeight="1">
      <c r="B13" s="467">
        <v>7</v>
      </c>
      <c r="C13" s="130" t="s">
        <v>472</v>
      </c>
      <c r="D13" s="744"/>
      <c r="E13" s="744">
        <v>0.28000000000000003</v>
      </c>
      <c r="F13" s="745" t="s">
        <v>470</v>
      </c>
      <c r="G13" s="165"/>
    </row>
    <row r="14" spans="1:22" ht="15.75" customHeight="1">
      <c r="B14" s="467">
        <v>8</v>
      </c>
      <c r="C14" s="470" t="s">
        <v>473</v>
      </c>
      <c r="D14" s="665"/>
      <c r="E14" s="665"/>
      <c r="F14" s="665"/>
      <c r="G14" s="165"/>
    </row>
    <row r="15" spans="1:22" ht="15.75" customHeight="1">
      <c r="B15" s="467">
        <v>10</v>
      </c>
      <c r="C15" s="130" t="s">
        <v>474</v>
      </c>
      <c r="D15" s="744"/>
      <c r="E15" s="744">
        <v>13</v>
      </c>
      <c r="F15" s="745" t="s">
        <v>470</v>
      </c>
      <c r="G15" s="165"/>
    </row>
    <row r="16" spans="1:22" ht="15.75" customHeight="1">
      <c r="B16" s="467">
        <v>11</v>
      </c>
      <c r="C16" s="130" t="s">
        <v>475</v>
      </c>
      <c r="D16" s="665"/>
      <c r="E16" s="665"/>
      <c r="F16" s="665"/>
      <c r="G16" s="165"/>
    </row>
    <row r="17" spans="2:7" ht="15.75" customHeight="1">
      <c r="B17" s="467">
        <v>12</v>
      </c>
      <c r="C17" s="130" t="s">
        <v>476</v>
      </c>
      <c r="D17" s="468">
        <v>27</v>
      </c>
      <c r="E17" s="468">
        <v>27.5</v>
      </c>
      <c r="F17" s="469" t="s">
        <v>470</v>
      </c>
      <c r="G17" s="165"/>
    </row>
    <row r="18" spans="2:7" ht="15.75" customHeight="1">
      <c r="B18" s="467">
        <v>13</v>
      </c>
      <c r="C18" s="130" t="s">
        <v>477</v>
      </c>
      <c r="D18" s="744"/>
      <c r="E18" s="744">
        <v>20</v>
      </c>
      <c r="F18" s="745" t="s">
        <v>470</v>
      </c>
      <c r="G18" s="165"/>
    </row>
    <row r="19" spans="2:7" ht="15.75" customHeight="1">
      <c r="B19" s="467">
        <v>14</v>
      </c>
      <c r="C19" s="130" t="s">
        <v>478</v>
      </c>
      <c r="D19" s="665"/>
      <c r="E19" s="665"/>
      <c r="F19" s="665"/>
      <c r="G19" s="165"/>
    </row>
    <row r="20" spans="2:7" ht="15.75" customHeight="1">
      <c r="B20" s="467">
        <v>15</v>
      </c>
      <c r="C20" s="130" t="s">
        <v>479</v>
      </c>
      <c r="D20" s="744">
        <v>24</v>
      </c>
      <c r="E20" s="744">
        <v>58</v>
      </c>
      <c r="F20" s="745" t="s">
        <v>470</v>
      </c>
      <c r="G20" s="165"/>
    </row>
    <row r="21" spans="2:7" ht="15.75" customHeight="1">
      <c r="B21" s="467">
        <v>16</v>
      </c>
      <c r="C21" s="130" t="s">
        <v>480</v>
      </c>
      <c r="D21" s="664"/>
      <c r="E21" s="664"/>
      <c r="F21" s="664"/>
      <c r="G21" s="165"/>
    </row>
    <row r="22" spans="2:7" ht="15.75" customHeight="1">
      <c r="B22" s="467">
        <v>17</v>
      </c>
      <c r="C22" s="130" t="s">
        <v>481</v>
      </c>
      <c r="D22" s="665"/>
      <c r="E22" s="665"/>
      <c r="F22" s="665"/>
      <c r="G22" s="165"/>
    </row>
    <row r="23" spans="2:7" ht="15.75" customHeight="1">
      <c r="B23" s="467">
        <v>18</v>
      </c>
      <c r="C23" s="130" t="s">
        <v>482</v>
      </c>
      <c r="D23" s="468">
        <v>2</v>
      </c>
      <c r="E23" s="468">
        <v>2</v>
      </c>
      <c r="F23" s="469" t="s">
        <v>470</v>
      </c>
      <c r="G23" s="165"/>
    </row>
    <row r="24" spans="2:7" ht="15.75" customHeight="1">
      <c r="B24" s="467">
        <v>19</v>
      </c>
      <c r="C24" s="130" t="s">
        <v>483</v>
      </c>
      <c r="D24" s="468"/>
      <c r="E24" s="468">
        <v>0.06</v>
      </c>
      <c r="F24" s="469" t="s">
        <v>470</v>
      </c>
      <c r="G24" s="165"/>
    </row>
    <row r="25" spans="2:7" ht="15.75" customHeight="1">
      <c r="B25" s="467">
        <v>20</v>
      </c>
      <c r="C25" s="130" t="s">
        <v>484</v>
      </c>
      <c r="D25" s="468">
        <v>0</v>
      </c>
      <c r="E25" s="468">
        <v>0</v>
      </c>
      <c r="F25" s="469" t="s">
        <v>485</v>
      </c>
      <c r="G25" s="165"/>
    </row>
    <row r="26" spans="2:7" ht="15.75" customHeight="1">
      <c r="B26" s="467">
        <v>21</v>
      </c>
      <c r="C26" s="130" t="s">
        <v>486</v>
      </c>
      <c r="D26" s="468"/>
      <c r="E26" s="468">
        <v>0.45</v>
      </c>
      <c r="F26" s="469" t="s">
        <v>470</v>
      </c>
      <c r="G26" s="165"/>
    </row>
    <row r="27" spans="2:7" ht="15.75" customHeight="1">
      <c r="B27" s="467">
        <v>24</v>
      </c>
      <c r="C27" s="130" t="s">
        <v>487</v>
      </c>
      <c r="D27" s="467"/>
      <c r="E27" s="468">
        <v>0.25</v>
      </c>
      <c r="F27" s="469" t="s">
        <v>470</v>
      </c>
      <c r="G27" s="165"/>
    </row>
    <row r="28" spans="2:7" ht="15.75" customHeight="1">
      <c r="B28" s="467">
        <v>25</v>
      </c>
      <c r="C28" s="130" t="s">
        <v>488</v>
      </c>
      <c r="D28" s="468">
        <v>2</v>
      </c>
      <c r="E28" s="468">
        <v>2.2999999999999998</v>
      </c>
      <c r="F28" s="469" t="s">
        <v>470</v>
      </c>
      <c r="G28" s="165"/>
    </row>
    <row r="29" spans="2:7" ht="15.75" customHeight="1">
      <c r="B29" s="467">
        <v>26</v>
      </c>
      <c r="C29" s="130" t="s">
        <v>489</v>
      </c>
      <c r="D29" s="468"/>
      <c r="E29" s="468">
        <v>3.5</v>
      </c>
      <c r="F29" s="469" t="s">
        <v>470</v>
      </c>
      <c r="G29" s="165"/>
    </row>
    <row r="30" spans="2:7" ht="15.75" customHeight="1">
      <c r="B30" s="467">
        <v>27</v>
      </c>
      <c r="C30" s="130" t="s">
        <v>490</v>
      </c>
      <c r="D30" s="468">
        <v>0.6</v>
      </c>
      <c r="E30" s="468">
        <v>0.6</v>
      </c>
      <c r="F30" s="469" t="s">
        <v>470</v>
      </c>
      <c r="G30" s="165"/>
    </row>
    <row r="31" spans="2:7" ht="15.75" customHeight="1">
      <c r="B31" s="467">
        <v>28</v>
      </c>
      <c r="C31" s="130" t="s">
        <v>491</v>
      </c>
      <c r="D31" s="468"/>
      <c r="E31" s="468">
        <v>0.3</v>
      </c>
      <c r="F31" s="469" t="s">
        <v>470</v>
      </c>
      <c r="G31" s="165"/>
    </row>
    <row r="32" spans="2:7" ht="15.75" customHeight="1">
      <c r="B32" s="467">
        <v>29</v>
      </c>
      <c r="C32" s="130" t="s">
        <v>492</v>
      </c>
      <c r="D32" s="468">
        <v>10</v>
      </c>
      <c r="E32" s="468">
        <v>10</v>
      </c>
      <c r="F32" s="469" t="s">
        <v>470</v>
      </c>
      <c r="G32" s="165"/>
    </row>
    <row r="33" spans="2:7" ht="15.75" customHeight="1">
      <c r="B33" s="467">
        <v>32</v>
      </c>
      <c r="C33" s="130" t="s">
        <v>493</v>
      </c>
      <c r="D33" s="468"/>
      <c r="E33" s="468">
        <v>10</v>
      </c>
      <c r="F33" s="469" t="s">
        <v>470</v>
      </c>
      <c r="G33" s="165"/>
    </row>
    <row r="34" spans="2:7" ht="15.75" customHeight="1">
      <c r="B34" s="467">
        <v>33</v>
      </c>
      <c r="C34" s="130" t="s">
        <v>494</v>
      </c>
      <c r="D34" s="468">
        <v>0.02</v>
      </c>
      <c r="E34" s="468">
        <v>12.15</v>
      </c>
      <c r="F34" s="469" t="s">
        <v>470</v>
      </c>
      <c r="G34" s="165"/>
    </row>
    <row r="35" spans="2:7" ht="15.75" customHeight="1">
      <c r="B35" s="467">
        <v>34</v>
      </c>
      <c r="C35" s="130" t="s">
        <v>495</v>
      </c>
      <c r="D35" s="468"/>
      <c r="E35" s="468">
        <v>52.5</v>
      </c>
      <c r="F35" s="469" t="s">
        <v>470</v>
      </c>
      <c r="G35" s="165"/>
    </row>
    <row r="36" spans="2:7" ht="15.75" customHeight="1">
      <c r="B36" s="467">
        <v>35</v>
      </c>
      <c r="C36" s="130" t="s">
        <v>496</v>
      </c>
      <c r="D36" s="468"/>
      <c r="E36" s="468">
        <v>19.2</v>
      </c>
      <c r="F36" s="469" t="s">
        <v>470</v>
      </c>
      <c r="G36" s="165"/>
    </row>
    <row r="37" spans="2:7" ht="15.75" customHeight="1">
      <c r="B37" s="467">
        <v>36</v>
      </c>
      <c r="C37" s="130" t="s">
        <v>497</v>
      </c>
      <c r="D37" s="468"/>
      <c r="E37" s="468">
        <v>5</v>
      </c>
      <c r="F37" s="469" t="s">
        <v>470</v>
      </c>
      <c r="G37" s="165"/>
    </row>
    <row r="38" spans="2:7" ht="15.75" customHeight="1">
      <c r="B38" s="467">
        <v>37</v>
      </c>
      <c r="C38" s="130" t="s">
        <v>498</v>
      </c>
      <c r="D38" s="468"/>
      <c r="E38" s="468">
        <v>7</v>
      </c>
      <c r="F38" s="469" t="s">
        <v>470</v>
      </c>
      <c r="G38" s="165"/>
    </row>
    <row r="39" spans="2:7" ht="15.75" customHeight="1">
      <c r="B39" s="467">
        <v>38</v>
      </c>
      <c r="C39" s="130" t="s">
        <v>499</v>
      </c>
      <c r="D39" s="468"/>
      <c r="E39" s="468">
        <v>0.25</v>
      </c>
      <c r="F39" s="469" t="s">
        <v>470</v>
      </c>
      <c r="G39" s="165"/>
    </row>
    <row r="40" spans="2:7" ht="15.75" customHeight="1">
      <c r="B40" s="467">
        <v>39</v>
      </c>
      <c r="C40" s="470" t="s">
        <v>500</v>
      </c>
      <c r="D40" s="468"/>
      <c r="E40" s="468">
        <v>7.5</v>
      </c>
      <c r="F40" s="469" t="s">
        <v>470</v>
      </c>
      <c r="G40" s="165"/>
    </row>
    <row r="41" spans="2:7" ht="15.75" customHeight="1">
      <c r="B41" s="467">
        <v>41</v>
      </c>
      <c r="C41" s="470" t="s">
        <v>501</v>
      </c>
      <c r="D41" s="468">
        <v>0.35</v>
      </c>
      <c r="E41" s="468">
        <v>0.7</v>
      </c>
      <c r="F41" s="469" t="s">
        <v>470</v>
      </c>
      <c r="G41" s="165"/>
    </row>
    <row r="42" spans="2:7" ht="15.75" customHeight="1">
      <c r="B42" s="467">
        <v>42</v>
      </c>
      <c r="C42" s="130" t="s">
        <v>502</v>
      </c>
      <c r="D42" s="468">
        <v>0.1</v>
      </c>
      <c r="E42" s="468">
        <v>0.1</v>
      </c>
      <c r="F42" s="469" t="s">
        <v>470</v>
      </c>
      <c r="G42" s="165"/>
    </row>
    <row r="43" spans="2:7" ht="15.75" customHeight="1">
      <c r="B43" s="467">
        <v>44</v>
      </c>
      <c r="C43" s="470" t="s">
        <v>503</v>
      </c>
      <c r="D43" s="468"/>
      <c r="E43" s="468">
        <v>6.1</v>
      </c>
      <c r="F43" s="469" t="s">
        <v>470</v>
      </c>
      <c r="G43" s="165"/>
    </row>
    <row r="44" spans="2:7" ht="15.75" customHeight="1">
      <c r="B44" s="467">
        <v>45</v>
      </c>
      <c r="C44" s="130" t="s">
        <v>504</v>
      </c>
      <c r="D44" s="468"/>
      <c r="E44" s="468">
        <v>10</v>
      </c>
      <c r="F44" s="469" t="s">
        <v>470</v>
      </c>
      <c r="G44" s="165"/>
    </row>
    <row r="45" spans="2:7" ht="15.75" customHeight="1">
      <c r="B45" s="467">
        <v>46</v>
      </c>
      <c r="C45" s="470" t="s">
        <v>505</v>
      </c>
      <c r="D45" s="468"/>
      <c r="E45" s="468">
        <v>17.399999999999999</v>
      </c>
      <c r="F45" s="469" t="s">
        <v>506</v>
      </c>
      <c r="G45" s="165"/>
    </row>
    <row r="46" spans="2:7" ht="15.75" customHeight="1">
      <c r="B46" s="467">
        <v>47</v>
      </c>
      <c r="C46" s="130" t="s">
        <v>507</v>
      </c>
      <c r="D46" s="468"/>
      <c r="E46" s="468">
        <v>0.4</v>
      </c>
      <c r="F46" s="469" t="s">
        <v>470</v>
      </c>
      <c r="G46" s="165"/>
    </row>
    <row r="47" spans="2:7" ht="15.75" customHeight="1">
      <c r="B47" s="467">
        <v>48</v>
      </c>
      <c r="C47" s="130" t="s">
        <v>508</v>
      </c>
      <c r="D47" s="468"/>
      <c r="E47" s="468">
        <v>1</v>
      </c>
      <c r="F47" s="469" t="s">
        <v>470</v>
      </c>
      <c r="G47" s="165"/>
    </row>
    <row r="48" spans="2:7" ht="15.75" customHeight="1">
      <c r="B48" s="467">
        <v>49</v>
      </c>
      <c r="C48" s="130" t="s">
        <v>509</v>
      </c>
      <c r="D48" s="471">
        <v>10</v>
      </c>
      <c r="E48" s="468">
        <v>35</v>
      </c>
      <c r="F48" s="469" t="s">
        <v>470</v>
      </c>
      <c r="G48" s="472"/>
    </row>
    <row r="49" spans="2:7" ht="15.75" customHeight="1">
      <c r="B49" s="467">
        <v>53</v>
      </c>
      <c r="C49" s="130" t="s">
        <v>510</v>
      </c>
      <c r="D49" s="468">
        <v>2.5</v>
      </c>
      <c r="E49" s="468">
        <v>2.5</v>
      </c>
      <c r="F49" s="469" t="s">
        <v>470</v>
      </c>
      <c r="G49" s="165"/>
    </row>
    <row r="50" spans="2:7" ht="15.75" customHeight="1">
      <c r="B50" s="467">
        <v>54</v>
      </c>
      <c r="C50" s="470" t="s">
        <v>511</v>
      </c>
      <c r="D50" s="468">
        <v>2.1</v>
      </c>
      <c r="E50" s="468">
        <v>2.7</v>
      </c>
      <c r="F50" s="469" t="s">
        <v>470</v>
      </c>
      <c r="G50" s="165"/>
    </row>
    <row r="51" spans="2:7" ht="15.75" customHeight="1">
      <c r="B51" s="467">
        <v>55</v>
      </c>
      <c r="C51" s="130" t="s">
        <v>512</v>
      </c>
      <c r="D51" s="468"/>
      <c r="E51" s="468">
        <v>7</v>
      </c>
      <c r="F51" s="469" t="s">
        <v>470</v>
      </c>
      <c r="G51" s="165"/>
    </row>
    <row r="52" spans="2:7" ht="15.75" customHeight="1">
      <c r="B52" s="467">
        <v>56</v>
      </c>
      <c r="C52" s="130" t="s">
        <v>513</v>
      </c>
      <c r="D52" s="468">
        <v>1</v>
      </c>
      <c r="E52" s="468">
        <v>1</v>
      </c>
      <c r="F52" s="469" t="s">
        <v>470</v>
      </c>
      <c r="G52" s="165"/>
    </row>
    <row r="53" spans="2:7" ht="15.75" customHeight="1">
      <c r="B53" s="467">
        <v>57</v>
      </c>
      <c r="C53" s="130" t="s">
        <v>514</v>
      </c>
      <c r="D53" s="471">
        <v>3.0000000000000001E-3</v>
      </c>
      <c r="E53" s="468">
        <v>5.8000000000000003E-2</v>
      </c>
      <c r="F53" s="469" t="s">
        <v>470</v>
      </c>
      <c r="G53" s="472"/>
    </row>
    <row r="54" spans="2:7" ht="15.75" customHeight="1">
      <c r="B54" s="467">
        <v>58</v>
      </c>
      <c r="C54" s="470" t="s">
        <v>515</v>
      </c>
      <c r="D54" s="468">
        <v>6</v>
      </c>
      <c r="E54" s="468">
        <v>6.65</v>
      </c>
      <c r="F54" s="469" t="s">
        <v>470</v>
      </c>
      <c r="G54" s="165"/>
    </row>
    <row r="55" spans="2:7" ht="15.75" customHeight="1">
      <c r="B55" s="467">
        <v>59</v>
      </c>
      <c r="C55" s="130" t="s">
        <v>516</v>
      </c>
      <c r="D55" s="468"/>
      <c r="E55" s="468">
        <v>30</v>
      </c>
      <c r="F55" s="469" t="s">
        <v>470</v>
      </c>
      <c r="G55" s="165"/>
    </row>
    <row r="56" spans="2:7" ht="15.75" customHeight="1">
      <c r="B56" s="467">
        <v>62</v>
      </c>
      <c r="C56" s="130" t="s">
        <v>517</v>
      </c>
      <c r="D56" s="468"/>
      <c r="E56" s="468">
        <v>1</v>
      </c>
      <c r="F56" s="469" t="s">
        <v>470</v>
      </c>
      <c r="G56" s="165"/>
    </row>
    <row r="57" spans="2:7" ht="15.75" customHeight="1">
      <c r="B57" s="467">
        <v>63</v>
      </c>
      <c r="C57" s="130" t="s">
        <v>518</v>
      </c>
      <c r="D57" s="468"/>
      <c r="E57" s="468">
        <v>0.25</v>
      </c>
      <c r="F57" s="469" t="s">
        <v>470</v>
      </c>
      <c r="G57" s="165"/>
    </row>
    <row r="58" spans="2:7" ht="15.75" customHeight="1">
      <c r="B58" s="467">
        <v>65</v>
      </c>
      <c r="C58" s="130" t="s">
        <v>519</v>
      </c>
      <c r="D58" s="468">
        <v>10</v>
      </c>
      <c r="E58" s="468">
        <v>10</v>
      </c>
      <c r="F58" s="469" t="s">
        <v>470</v>
      </c>
      <c r="G58" s="165"/>
    </row>
    <row r="59" spans="2:7" ht="15.75" customHeight="1">
      <c r="B59" s="467">
        <v>66</v>
      </c>
      <c r="C59" s="130" t="s">
        <v>520</v>
      </c>
      <c r="D59" s="468">
        <v>4.5</v>
      </c>
      <c r="E59" s="468">
        <v>4.5</v>
      </c>
      <c r="F59" s="469" t="s">
        <v>470</v>
      </c>
      <c r="G59" s="165"/>
    </row>
    <row r="60" spans="2:7" ht="15.75" customHeight="1">
      <c r="B60" s="467">
        <v>67</v>
      </c>
      <c r="C60" s="130" t="s">
        <v>521</v>
      </c>
      <c r="D60" s="468">
        <v>50</v>
      </c>
      <c r="E60" s="468">
        <v>50</v>
      </c>
      <c r="F60" s="469" t="s">
        <v>470</v>
      </c>
      <c r="G60" s="165"/>
    </row>
    <row r="61" spans="2:7" ht="15.75" customHeight="1">
      <c r="B61" s="469">
        <v>68</v>
      </c>
      <c r="C61" s="470" t="s">
        <v>522</v>
      </c>
      <c r="D61" s="468">
        <v>250</v>
      </c>
      <c r="E61" s="468">
        <v>0.25</v>
      </c>
      <c r="F61" s="469" t="s">
        <v>470</v>
      </c>
      <c r="G61" s="165"/>
    </row>
    <row r="62" spans="2:7" ht="15.75" customHeight="1">
      <c r="B62" s="467">
        <v>70</v>
      </c>
      <c r="C62" s="130" t="s">
        <v>523</v>
      </c>
      <c r="D62" s="468">
        <v>250</v>
      </c>
      <c r="E62" s="468">
        <v>0.25</v>
      </c>
      <c r="F62" s="469" t="s">
        <v>470</v>
      </c>
      <c r="G62" s="165"/>
    </row>
    <row r="63" spans="2:7" ht="15.75" customHeight="1">
      <c r="B63" s="467">
        <v>71</v>
      </c>
      <c r="C63" s="130" t="s">
        <v>524</v>
      </c>
      <c r="D63" s="468"/>
      <c r="E63" s="468">
        <v>0.4</v>
      </c>
      <c r="F63" s="469" t="s">
        <v>470</v>
      </c>
      <c r="G63" s="165"/>
    </row>
    <row r="64" spans="2:7" ht="15.75" customHeight="1">
      <c r="B64" s="467">
        <v>72</v>
      </c>
      <c r="C64" s="130" t="s">
        <v>525</v>
      </c>
      <c r="D64" s="468"/>
      <c r="E64" s="468">
        <v>6</v>
      </c>
      <c r="F64" s="469" t="s">
        <v>470</v>
      </c>
      <c r="G64" s="165"/>
    </row>
    <row r="65" spans="2:7" ht="15.75" customHeight="1">
      <c r="B65" s="467">
        <v>73</v>
      </c>
      <c r="C65" s="130" t="s">
        <v>526</v>
      </c>
      <c r="D65" s="468"/>
      <c r="E65" s="468">
        <v>0.3</v>
      </c>
      <c r="F65" s="469" t="s">
        <v>470</v>
      </c>
      <c r="G65" s="165"/>
    </row>
    <row r="66" spans="2:7" ht="15.75" customHeight="1">
      <c r="B66" s="467">
        <v>74</v>
      </c>
      <c r="C66" s="130" t="s">
        <v>527</v>
      </c>
      <c r="D66" s="468"/>
      <c r="E66" s="468">
        <v>0.35</v>
      </c>
      <c r="F66" s="469" t="s">
        <v>470</v>
      </c>
      <c r="G66" s="165"/>
    </row>
    <row r="67" spans="2:7" ht="15.75" customHeight="1"/>
    <row r="68" spans="2:7" ht="15.75" customHeight="1">
      <c r="B68" s="465" t="s">
        <v>322</v>
      </c>
      <c r="C68" s="465" t="s">
        <v>323</v>
      </c>
      <c r="D68" s="465" t="s">
        <v>325</v>
      </c>
      <c r="E68" s="465" t="s">
        <v>246</v>
      </c>
      <c r="F68" s="56" t="s">
        <v>369</v>
      </c>
    </row>
    <row r="69" spans="2:7" ht="15.75" customHeight="1">
      <c r="B69" s="467">
        <v>1</v>
      </c>
      <c r="C69" s="130" t="s">
        <v>469</v>
      </c>
      <c r="D69" s="468">
        <v>7.5</v>
      </c>
      <c r="E69" s="469" t="s">
        <v>470</v>
      </c>
      <c r="F69" s="129">
        <v>0.04</v>
      </c>
    </row>
    <row r="70" spans="2:7" ht="15.75" customHeight="1">
      <c r="B70" s="467">
        <v>6</v>
      </c>
      <c r="C70" s="130" t="s">
        <v>471</v>
      </c>
      <c r="D70" s="468">
        <v>23</v>
      </c>
      <c r="E70" s="469" t="s">
        <v>470</v>
      </c>
      <c r="F70" s="380">
        <v>0.05</v>
      </c>
    </row>
    <row r="71" spans="2:7" ht="15.75" customHeight="1">
      <c r="B71" s="467">
        <v>7</v>
      </c>
      <c r="C71" s="130" t="s">
        <v>472</v>
      </c>
      <c r="D71" s="744">
        <f>E13</f>
        <v>0.28000000000000003</v>
      </c>
      <c r="E71" s="745" t="s">
        <v>470</v>
      </c>
      <c r="F71" s="380">
        <v>0.02</v>
      </c>
    </row>
    <row r="72" spans="2:7" ht="15.75" customHeight="1">
      <c r="B72" s="467">
        <v>8</v>
      </c>
      <c r="C72" s="470" t="s">
        <v>473</v>
      </c>
      <c r="D72" s="665"/>
      <c r="E72" s="665"/>
    </row>
    <row r="73" spans="2:7" ht="15.75" customHeight="1">
      <c r="B73" s="467">
        <v>10</v>
      </c>
      <c r="C73" s="130" t="s">
        <v>474</v>
      </c>
      <c r="D73" s="744">
        <f>E15</f>
        <v>13</v>
      </c>
      <c r="E73" s="745" t="s">
        <v>470</v>
      </c>
      <c r="F73" s="129">
        <v>4.0000000000000002E-4</v>
      </c>
    </row>
    <row r="74" spans="2:7" ht="15.75" customHeight="1">
      <c r="B74" s="467">
        <v>11</v>
      </c>
      <c r="C74" s="130" t="s">
        <v>475</v>
      </c>
      <c r="D74" s="665"/>
      <c r="E74" s="665"/>
      <c r="F74" s="380">
        <v>4.0000000000000002E-4</v>
      </c>
    </row>
    <row r="75" spans="2:7" ht="15.75" customHeight="1">
      <c r="B75" s="467">
        <v>12</v>
      </c>
      <c r="C75" s="130" t="s">
        <v>476</v>
      </c>
      <c r="D75" s="468">
        <v>27</v>
      </c>
      <c r="E75" s="469" t="s">
        <v>470</v>
      </c>
      <c r="F75" s="380">
        <v>2.8000000000000001E-2</v>
      </c>
    </row>
    <row r="76" spans="2:7" ht="15.75" customHeight="1">
      <c r="B76" s="467">
        <v>13</v>
      </c>
      <c r="C76" s="130" t="s">
        <v>477</v>
      </c>
      <c r="D76" s="744">
        <f>E18</f>
        <v>20</v>
      </c>
      <c r="E76" s="745" t="s">
        <v>470</v>
      </c>
      <c r="F76" s="380">
        <v>4.0000000000000002E-4</v>
      </c>
    </row>
    <row r="77" spans="2:7" ht="15.75" customHeight="1">
      <c r="B77" s="467">
        <v>14</v>
      </c>
      <c r="C77" s="130" t="s">
        <v>478</v>
      </c>
      <c r="D77" s="665"/>
      <c r="E77" s="665"/>
      <c r="F77" s="380">
        <v>8.4000000000000005E-2</v>
      </c>
    </row>
    <row r="78" spans="2:7" ht="15.75" customHeight="1">
      <c r="B78" s="467">
        <v>15</v>
      </c>
      <c r="C78" s="130" t="s">
        <v>479</v>
      </c>
      <c r="D78" s="744">
        <v>24</v>
      </c>
      <c r="E78" s="745" t="s">
        <v>470</v>
      </c>
      <c r="F78" s="380">
        <v>0.2</v>
      </c>
    </row>
    <row r="79" spans="2:7" ht="15.75" customHeight="1">
      <c r="B79" s="467">
        <v>17</v>
      </c>
      <c r="C79" s="130" t="s">
        <v>481</v>
      </c>
      <c r="D79" s="665"/>
      <c r="E79" s="665"/>
      <c r="F79" s="380">
        <v>4.8000000000000001E-2</v>
      </c>
    </row>
    <row r="80" spans="2:7" ht="15.75" customHeight="1">
      <c r="B80" s="467">
        <v>18</v>
      </c>
      <c r="C80" s="130" t="s">
        <v>482</v>
      </c>
      <c r="D80" s="468">
        <v>2</v>
      </c>
      <c r="E80" s="469" t="s">
        <v>470</v>
      </c>
      <c r="F80" s="380">
        <v>4.8000000000000001E-2</v>
      </c>
    </row>
    <row r="81" spans="2:22" ht="15.75" customHeight="1">
      <c r="B81" s="467">
        <v>19</v>
      </c>
      <c r="C81" s="130" t="s">
        <v>483</v>
      </c>
      <c r="D81" s="468">
        <f>E24</f>
        <v>0.06</v>
      </c>
      <c r="E81" s="469" t="s">
        <v>470</v>
      </c>
      <c r="F81" s="380">
        <v>4.8000000000000001E-2</v>
      </c>
    </row>
    <row r="82" spans="2:22" ht="15.75" customHeight="1">
      <c r="B82" s="467">
        <v>21</v>
      </c>
      <c r="C82" s="130" t="s">
        <v>486</v>
      </c>
      <c r="D82" s="468">
        <f>E26</f>
        <v>0.45</v>
      </c>
      <c r="E82" s="469" t="s">
        <v>470</v>
      </c>
      <c r="F82" s="380">
        <v>3.2000000000000002E-3</v>
      </c>
    </row>
    <row r="83" spans="2:22" ht="15.75" customHeight="1">
      <c r="B83" s="467">
        <v>24</v>
      </c>
      <c r="C83" s="130" t="s">
        <v>487</v>
      </c>
      <c r="D83" s="467">
        <f>E27</f>
        <v>0.25</v>
      </c>
      <c r="E83" s="469" t="s">
        <v>470</v>
      </c>
      <c r="F83" s="380">
        <v>4.0000000000000002E-4</v>
      </c>
    </row>
    <row r="84" spans="2:22" ht="15.75" customHeight="1">
      <c r="B84" s="467">
        <v>25</v>
      </c>
      <c r="C84" s="130" t="s">
        <v>488</v>
      </c>
      <c r="D84" s="468">
        <v>2</v>
      </c>
      <c r="E84" s="469" t="s">
        <v>470</v>
      </c>
      <c r="F84" s="380">
        <v>1.1999999999999999E-3</v>
      </c>
    </row>
    <row r="85" spans="2:22" ht="15.75" customHeight="1">
      <c r="B85" s="467">
        <v>26</v>
      </c>
      <c r="C85" s="130" t="s">
        <v>489</v>
      </c>
      <c r="D85" s="468">
        <f>E29</f>
        <v>3.5</v>
      </c>
      <c r="E85" s="469" t="s">
        <v>470</v>
      </c>
      <c r="F85" s="380">
        <v>1.6E-2</v>
      </c>
    </row>
    <row r="86" spans="2:22" ht="15.75" customHeight="1">
      <c r="B86" s="467">
        <v>27</v>
      </c>
      <c r="C86" s="130" t="s">
        <v>490</v>
      </c>
      <c r="D86" s="468">
        <v>0.6</v>
      </c>
      <c r="E86" s="469" t="s">
        <v>470</v>
      </c>
      <c r="F86" s="380">
        <v>0</v>
      </c>
    </row>
    <row r="87" spans="2:22" ht="15.75" customHeight="1">
      <c r="B87" s="467">
        <v>28</v>
      </c>
      <c r="C87" s="130" t="s">
        <v>491</v>
      </c>
      <c r="D87" s="468">
        <f>E31</f>
        <v>0.3</v>
      </c>
      <c r="E87" s="469" t="s">
        <v>470</v>
      </c>
      <c r="F87" s="380">
        <v>8.7999999999999995E-2</v>
      </c>
    </row>
    <row r="88" spans="2:22" ht="15.75" customHeight="1">
      <c r="B88" s="488">
        <v>29</v>
      </c>
      <c r="C88" s="488" t="s">
        <v>492</v>
      </c>
      <c r="D88" s="489">
        <v>10</v>
      </c>
      <c r="E88" s="490" t="s">
        <v>470</v>
      </c>
      <c r="F88" s="488">
        <v>3.9199999999999999E-2</v>
      </c>
      <c r="G88" s="486"/>
      <c r="H88" s="486"/>
      <c r="I88" s="486"/>
      <c r="J88" s="486"/>
      <c r="K88" s="486"/>
      <c r="L88" s="486"/>
      <c r="M88" s="486"/>
      <c r="N88" s="486"/>
      <c r="O88" s="486"/>
      <c r="P88" s="486"/>
      <c r="Q88" s="486"/>
      <c r="R88" s="486"/>
      <c r="S88" s="486"/>
      <c r="T88" s="486"/>
      <c r="U88" s="486"/>
      <c r="V88" s="486"/>
    </row>
    <row r="89" spans="2:22" ht="15.75" customHeight="1">
      <c r="B89" s="488">
        <v>32</v>
      </c>
      <c r="C89" s="488" t="s">
        <v>493</v>
      </c>
      <c r="D89" s="489">
        <f>E33</f>
        <v>10</v>
      </c>
      <c r="E89" s="490" t="s">
        <v>470</v>
      </c>
      <c r="F89" s="488">
        <v>0.01</v>
      </c>
      <c r="G89" s="486"/>
      <c r="H89" s="486"/>
      <c r="I89" s="486"/>
      <c r="J89" s="486"/>
      <c r="K89" s="486"/>
      <c r="L89" s="486"/>
      <c r="M89" s="486"/>
      <c r="N89" s="486"/>
      <c r="O89" s="486"/>
      <c r="P89" s="486"/>
      <c r="Q89" s="486"/>
      <c r="R89" s="486"/>
      <c r="S89" s="486"/>
      <c r="T89" s="486"/>
      <c r="U89" s="486"/>
      <c r="V89" s="486"/>
    </row>
    <row r="90" spans="2:22" ht="15.75" customHeight="1">
      <c r="B90" s="488">
        <v>33</v>
      </c>
      <c r="C90" s="488" t="s">
        <v>494</v>
      </c>
      <c r="D90" s="489">
        <v>0.02</v>
      </c>
      <c r="E90" s="490" t="s">
        <v>470</v>
      </c>
      <c r="F90" s="488">
        <v>9.6000000000000002E-2</v>
      </c>
      <c r="G90" s="486"/>
      <c r="H90" s="486"/>
      <c r="I90" s="486"/>
      <c r="J90" s="486"/>
      <c r="K90" s="486"/>
      <c r="L90" s="486"/>
      <c r="M90" s="486"/>
      <c r="N90" s="486"/>
      <c r="O90" s="486"/>
      <c r="P90" s="486"/>
      <c r="Q90" s="486"/>
      <c r="R90" s="486"/>
      <c r="S90" s="486"/>
      <c r="T90" s="486"/>
      <c r="U90" s="486"/>
      <c r="V90" s="486"/>
    </row>
    <row r="91" spans="2:22" ht="15.75" customHeight="1">
      <c r="B91" s="488" t="s">
        <v>528</v>
      </c>
      <c r="C91" s="488"/>
      <c r="D91" s="489">
        <f>D89+D90</f>
        <v>10.02</v>
      </c>
      <c r="E91" s="489" t="e">
        <f t="shared" ref="E91:V91" si="1">E89+E90</f>
        <v>#VALUE!</v>
      </c>
      <c r="F91" s="489">
        <f t="shared" si="1"/>
        <v>0.106</v>
      </c>
      <c r="G91" s="489">
        <f t="shared" si="1"/>
        <v>0</v>
      </c>
      <c r="H91" s="489">
        <f t="shared" si="1"/>
        <v>0</v>
      </c>
      <c r="I91" s="489">
        <f t="shared" si="1"/>
        <v>0</v>
      </c>
      <c r="J91" s="489">
        <f t="shared" si="1"/>
        <v>0</v>
      </c>
      <c r="K91" s="489">
        <f t="shared" si="1"/>
        <v>0</v>
      </c>
      <c r="L91" s="489">
        <f t="shared" si="1"/>
        <v>0</v>
      </c>
      <c r="M91" s="489">
        <f t="shared" si="1"/>
        <v>0</v>
      </c>
      <c r="N91" s="489">
        <f t="shared" si="1"/>
        <v>0</v>
      </c>
      <c r="O91" s="489">
        <f t="shared" si="1"/>
        <v>0</v>
      </c>
      <c r="P91" s="489">
        <f t="shared" si="1"/>
        <v>0</v>
      </c>
      <c r="Q91" s="489">
        <f t="shared" si="1"/>
        <v>0</v>
      </c>
      <c r="R91" s="489">
        <f t="shared" si="1"/>
        <v>0</v>
      </c>
      <c r="S91" s="489">
        <f t="shared" si="1"/>
        <v>0</v>
      </c>
      <c r="T91" s="489">
        <f t="shared" si="1"/>
        <v>0</v>
      </c>
      <c r="U91" s="489">
        <f t="shared" si="1"/>
        <v>0</v>
      </c>
      <c r="V91" s="489">
        <f t="shared" si="1"/>
        <v>0</v>
      </c>
    </row>
    <row r="92" spans="2:22" ht="15.75" customHeight="1">
      <c r="B92" s="473">
        <v>34</v>
      </c>
      <c r="C92" s="179" t="s">
        <v>495</v>
      </c>
      <c r="D92" s="474"/>
      <c r="E92" s="475"/>
      <c r="F92" s="380"/>
    </row>
    <row r="93" spans="2:22" ht="15.75" customHeight="1">
      <c r="B93" s="488">
        <v>35</v>
      </c>
      <c r="C93" s="488" t="s">
        <v>496</v>
      </c>
      <c r="D93" s="489">
        <f>E36</f>
        <v>19.2</v>
      </c>
      <c r="E93" s="490" t="s">
        <v>470</v>
      </c>
      <c r="F93" s="488">
        <v>0.11360000000000001</v>
      </c>
      <c r="G93" s="486"/>
      <c r="H93" s="486"/>
      <c r="I93" s="486"/>
      <c r="J93" s="486"/>
      <c r="K93" s="486"/>
      <c r="L93" s="486"/>
      <c r="M93" s="486"/>
      <c r="N93" s="486"/>
      <c r="O93" s="486"/>
      <c r="P93" s="486"/>
      <c r="Q93" s="486"/>
      <c r="R93" s="486"/>
      <c r="S93" s="486"/>
      <c r="T93" s="486"/>
      <c r="U93" s="486"/>
      <c r="V93" s="486"/>
    </row>
    <row r="94" spans="2:22" ht="15.75" customHeight="1">
      <c r="B94" s="488">
        <v>36</v>
      </c>
      <c r="C94" s="488" t="s">
        <v>497</v>
      </c>
      <c r="D94" s="489">
        <f>E37</f>
        <v>5</v>
      </c>
      <c r="E94" s="490" t="s">
        <v>470</v>
      </c>
      <c r="F94" s="488">
        <v>6.4000000000000005E-4</v>
      </c>
      <c r="G94" s="486"/>
      <c r="H94" s="486"/>
      <c r="I94" s="486"/>
      <c r="J94" s="486"/>
      <c r="K94" s="486"/>
      <c r="L94" s="486"/>
      <c r="M94" s="486"/>
      <c r="N94" s="486"/>
      <c r="O94" s="486"/>
      <c r="P94" s="486"/>
      <c r="Q94" s="486"/>
      <c r="R94" s="486"/>
      <c r="S94" s="486"/>
      <c r="T94" s="486"/>
      <c r="U94" s="486"/>
      <c r="V94" s="486"/>
    </row>
    <row r="95" spans="2:22" ht="15.75" customHeight="1">
      <c r="B95" s="488">
        <v>37</v>
      </c>
      <c r="C95" s="488" t="s">
        <v>498</v>
      </c>
      <c r="D95" s="489">
        <f>E38</f>
        <v>7</v>
      </c>
      <c r="E95" s="490" t="s">
        <v>470</v>
      </c>
      <c r="F95" s="488">
        <v>4.0000000000000002E-4</v>
      </c>
      <c r="G95" s="486"/>
      <c r="H95" s="486"/>
      <c r="I95" s="486"/>
      <c r="J95" s="486"/>
      <c r="K95" s="486"/>
      <c r="L95" s="486"/>
      <c r="M95" s="486"/>
      <c r="N95" s="486"/>
      <c r="O95" s="486"/>
      <c r="P95" s="486"/>
      <c r="Q95" s="486"/>
      <c r="R95" s="486"/>
      <c r="S95" s="486"/>
      <c r="T95" s="486"/>
      <c r="U95" s="486"/>
      <c r="V95" s="486"/>
    </row>
    <row r="96" spans="2:22" ht="15.75" customHeight="1">
      <c r="B96" s="488" t="s">
        <v>133</v>
      </c>
      <c r="C96" s="488"/>
      <c r="D96" s="489">
        <f>D94+D95</f>
        <v>12</v>
      </c>
      <c r="E96" s="489" t="e">
        <f t="shared" ref="E96:V96" si="2">E94+E95</f>
        <v>#VALUE!</v>
      </c>
      <c r="F96" s="489">
        <f t="shared" si="2"/>
        <v>1.0400000000000001E-3</v>
      </c>
      <c r="G96" s="489">
        <f t="shared" si="2"/>
        <v>0</v>
      </c>
      <c r="H96" s="489">
        <f t="shared" si="2"/>
        <v>0</v>
      </c>
      <c r="I96" s="489">
        <f t="shared" si="2"/>
        <v>0</v>
      </c>
      <c r="J96" s="489">
        <f t="shared" si="2"/>
        <v>0</v>
      </c>
      <c r="K96" s="489">
        <f t="shared" si="2"/>
        <v>0</v>
      </c>
      <c r="L96" s="489">
        <f t="shared" si="2"/>
        <v>0</v>
      </c>
      <c r="M96" s="489">
        <f t="shared" si="2"/>
        <v>0</v>
      </c>
      <c r="N96" s="489">
        <f t="shared" si="2"/>
        <v>0</v>
      </c>
      <c r="O96" s="489">
        <f t="shared" si="2"/>
        <v>0</v>
      </c>
      <c r="P96" s="489">
        <f t="shared" si="2"/>
        <v>0</v>
      </c>
      <c r="Q96" s="489">
        <f t="shared" si="2"/>
        <v>0</v>
      </c>
      <c r="R96" s="489">
        <f t="shared" si="2"/>
        <v>0</v>
      </c>
      <c r="S96" s="489">
        <f t="shared" si="2"/>
        <v>0</v>
      </c>
      <c r="T96" s="489">
        <f t="shared" si="2"/>
        <v>0</v>
      </c>
      <c r="U96" s="489">
        <f t="shared" si="2"/>
        <v>0</v>
      </c>
      <c r="V96" s="489">
        <f t="shared" si="2"/>
        <v>0</v>
      </c>
    </row>
    <row r="97" spans="2:22" ht="15.75" customHeight="1">
      <c r="B97" s="499">
        <v>38</v>
      </c>
      <c r="C97" s="500" t="s">
        <v>499</v>
      </c>
      <c r="D97" s="501">
        <f>E39</f>
        <v>0.25</v>
      </c>
      <c r="E97" s="502" t="s">
        <v>470</v>
      </c>
      <c r="F97" s="503">
        <v>8.9599999999999999E-2</v>
      </c>
    </row>
    <row r="98" spans="2:22" ht="15.75" customHeight="1">
      <c r="B98" s="488" t="s">
        <v>529</v>
      </c>
      <c r="C98" s="490" t="s">
        <v>500</v>
      </c>
      <c r="D98" s="489">
        <f>E40</f>
        <v>7.5</v>
      </c>
      <c r="E98" s="490" t="s">
        <v>470</v>
      </c>
      <c r="F98" s="488">
        <v>0.04</v>
      </c>
      <c r="G98" s="486"/>
      <c r="H98" s="486"/>
      <c r="I98" s="486"/>
      <c r="J98" s="486"/>
      <c r="K98" s="486"/>
      <c r="L98" s="486"/>
      <c r="M98" s="486"/>
      <c r="N98" s="486"/>
      <c r="O98" s="486"/>
      <c r="P98" s="486"/>
      <c r="Q98" s="486"/>
      <c r="R98" s="486"/>
      <c r="S98" s="486"/>
      <c r="T98" s="486"/>
      <c r="U98" s="486"/>
      <c r="V98" s="486"/>
    </row>
    <row r="99" spans="2:22" ht="15.75" customHeight="1">
      <c r="B99" s="488">
        <v>41</v>
      </c>
      <c r="C99" s="490" t="s">
        <v>501</v>
      </c>
      <c r="D99" s="489">
        <v>0.35</v>
      </c>
      <c r="E99" s="490" t="s">
        <v>470</v>
      </c>
      <c r="F99" s="488">
        <v>2E-3</v>
      </c>
      <c r="G99" s="486"/>
      <c r="H99" s="486"/>
      <c r="I99" s="486"/>
      <c r="J99" s="486"/>
      <c r="K99" s="486"/>
      <c r="L99" s="486"/>
      <c r="M99" s="486"/>
      <c r="N99" s="486"/>
      <c r="O99" s="486"/>
      <c r="P99" s="486"/>
      <c r="Q99" s="486"/>
      <c r="R99" s="486"/>
      <c r="S99" s="486"/>
      <c r="T99" s="486"/>
      <c r="U99" s="486"/>
      <c r="V99" s="486"/>
    </row>
    <row r="100" spans="2:22" ht="15.75" customHeight="1">
      <c r="B100" s="488">
        <v>42</v>
      </c>
      <c r="C100" s="488" t="s">
        <v>502</v>
      </c>
      <c r="D100" s="489">
        <v>0.1</v>
      </c>
      <c r="E100" s="490" t="s">
        <v>470</v>
      </c>
      <c r="F100" s="488">
        <v>0</v>
      </c>
      <c r="G100" s="486"/>
      <c r="H100" s="486"/>
      <c r="I100" s="486"/>
      <c r="J100" s="486"/>
      <c r="K100" s="486"/>
      <c r="L100" s="486"/>
      <c r="M100" s="486"/>
      <c r="N100" s="486"/>
      <c r="O100" s="486"/>
      <c r="P100" s="486"/>
      <c r="Q100" s="486"/>
      <c r="R100" s="486"/>
      <c r="S100" s="486"/>
      <c r="T100" s="486"/>
      <c r="U100" s="486"/>
      <c r="V100" s="486"/>
    </row>
    <row r="101" spans="2:22" ht="15.75" customHeight="1">
      <c r="B101" s="488" t="s">
        <v>133</v>
      </c>
      <c r="C101" s="488"/>
      <c r="D101" s="489">
        <f>D99+D100</f>
        <v>0.44999999999999996</v>
      </c>
      <c r="E101" s="489" t="e">
        <f t="shared" ref="E101:V101" si="3">E99+E100</f>
        <v>#VALUE!</v>
      </c>
      <c r="F101" s="489">
        <f t="shared" si="3"/>
        <v>2E-3</v>
      </c>
      <c r="G101" s="489">
        <f t="shared" si="3"/>
        <v>0</v>
      </c>
      <c r="H101" s="489">
        <f t="shared" si="3"/>
        <v>0</v>
      </c>
      <c r="I101" s="489">
        <f t="shared" si="3"/>
        <v>0</v>
      </c>
      <c r="J101" s="489">
        <f t="shared" si="3"/>
        <v>0</v>
      </c>
      <c r="K101" s="489">
        <f t="shared" si="3"/>
        <v>0</v>
      </c>
      <c r="L101" s="489">
        <f t="shared" si="3"/>
        <v>0</v>
      </c>
      <c r="M101" s="489">
        <f t="shared" si="3"/>
        <v>0</v>
      </c>
      <c r="N101" s="489">
        <f t="shared" si="3"/>
        <v>0</v>
      </c>
      <c r="O101" s="489">
        <f t="shared" si="3"/>
        <v>0</v>
      </c>
      <c r="P101" s="489">
        <f t="shared" si="3"/>
        <v>0</v>
      </c>
      <c r="Q101" s="489">
        <f t="shared" si="3"/>
        <v>0</v>
      </c>
      <c r="R101" s="489">
        <f t="shared" si="3"/>
        <v>0</v>
      </c>
      <c r="S101" s="489">
        <f t="shared" si="3"/>
        <v>0</v>
      </c>
      <c r="T101" s="489">
        <f t="shared" si="3"/>
        <v>0</v>
      </c>
      <c r="U101" s="489">
        <f t="shared" si="3"/>
        <v>0</v>
      </c>
      <c r="V101" s="489">
        <f t="shared" si="3"/>
        <v>0</v>
      </c>
    </row>
    <row r="102" spans="2:22" ht="15.75" customHeight="1">
      <c r="B102" s="473">
        <v>44</v>
      </c>
      <c r="C102" s="507" t="s">
        <v>503</v>
      </c>
      <c r="D102" s="474">
        <f>E43</f>
        <v>6.1</v>
      </c>
      <c r="E102" s="475" t="s">
        <v>470</v>
      </c>
      <c r="F102" s="380">
        <v>1.84E-2</v>
      </c>
    </row>
    <row r="103" spans="2:22" ht="15.75" customHeight="1">
      <c r="B103" s="467">
        <v>45</v>
      </c>
      <c r="C103" s="130" t="s">
        <v>504</v>
      </c>
      <c r="D103" s="468">
        <f>E44</f>
        <v>10</v>
      </c>
      <c r="E103" s="469" t="s">
        <v>470</v>
      </c>
      <c r="F103" s="380">
        <v>0.08</v>
      </c>
    </row>
    <row r="104" spans="2:22" ht="15.75" customHeight="1">
      <c r="B104" s="467">
        <v>46</v>
      </c>
      <c r="C104" s="470" t="s">
        <v>505</v>
      </c>
      <c r="D104" s="468">
        <f>E45</f>
        <v>17.399999999999999</v>
      </c>
      <c r="E104" s="469" t="s">
        <v>506</v>
      </c>
      <c r="F104" s="380">
        <v>5.1999999999999998E-2</v>
      </c>
    </row>
    <row r="105" spans="2:22" ht="15.75" customHeight="1">
      <c r="B105" s="467">
        <v>47</v>
      </c>
      <c r="C105" s="130" t="s">
        <v>507</v>
      </c>
      <c r="D105" s="468">
        <f>E46</f>
        <v>0.4</v>
      </c>
      <c r="E105" s="469" t="s">
        <v>470</v>
      </c>
      <c r="F105" s="380">
        <v>4.0000000000000002E-4</v>
      </c>
    </row>
    <row r="106" spans="2:22" ht="15.75" customHeight="1">
      <c r="B106" s="467">
        <v>48</v>
      </c>
      <c r="C106" s="130" t="s">
        <v>508</v>
      </c>
      <c r="D106" s="468">
        <f>E47</f>
        <v>1</v>
      </c>
      <c r="E106" s="469" t="s">
        <v>470</v>
      </c>
      <c r="F106" s="380">
        <v>8.0000000000000004E-4</v>
      </c>
    </row>
    <row r="107" spans="2:22" ht="15.75" customHeight="1">
      <c r="B107" s="467">
        <v>49</v>
      </c>
      <c r="C107" s="130" t="s">
        <v>509</v>
      </c>
      <c r="D107" s="471">
        <v>10</v>
      </c>
      <c r="E107" s="469" t="s">
        <v>470</v>
      </c>
      <c r="F107" s="380">
        <v>8.0000000000000004E-4</v>
      </c>
    </row>
    <row r="108" spans="2:22" ht="15.75" customHeight="1">
      <c r="B108" s="467">
        <v>53</v>
      </c>
      <c r="C108" s="130" t="s">
        <v>510</v>
      </c>
      <c r="D108" s="468">
        <v>2.5</v>
      </c>
      <c r="E108" s="469" t="s">
        <v>470</v>
      </c>
      <c r="F108" s="380">
        <v>1.2E-2</v>
      </c>
    </row>
    <row r="109" spans="2:22" ht="15.75" customHeight="1">
      <c r="B109" s="467">
        <v>54</v>
      </c>
      <c r="C109" s="470" t="s">
        <v>511</v>
      </c>
      <c r="D109" s="468">
        <v>2.1</v>
      </c>
      <c r="E109" s="469" t="s">
        <v>470</v>
      </c>
      <c r="F109" s="380">
        <v>1.2E-2</v>
      </c>
    </row>
    <row r="110" spans="2:22" ht="15.75" customHeight="1">
      <c r="B110" s="467">
        <v>55</v>
      </c>
      <c r="C110" s="130" t="s">
        <v>512</v>
      </c>
      <c r="D110" s="468">
        <f>E51</f>
        <v>7</v>
      </c>
      <c r="E110" s="469" t="s">
        <v>470</v>
      </c>
      <c r="F110" s="380">
        <v>0.08</v>
      </c>
    </row>
    <row r="111" spans="2:22" ht="15.75" customHeight="1">
      <c r="B111" s="467">
        <v>56</v>
      </c>
      <c r="C111" s="130" t="s">
        <v>513</v>
      </c>
      <c r="D111" s="468">
        <v>1</v>
      </c>
      <c r="E111" s="469" t="s">
        <v>470</v>
      </c>
      <c r="F111" s="380">
        <v>2E-3</v>
      </c>
    </row>
    <row r="112" spans="2:22" ht="15.75" customHeight="1">
      <c r="B112" s="467">
        <v>57</v>
      </c>
      <c r="C112" s="130" t="s">
        <v>514</v>
      </c>
      <c r="D112" s="471">
        <v>3.0000000000000001E-3</v>
      </c>
      <c r="E112" s="469" t="s">
        <v>470</v>
      </c>
      <c r="F112" s="380">
        <v>2.1999999999999999E-2</v>
      </c>
    </row>
    <row r="113" spans="2:7" ht="15.75" customHeight="1">
      <c r="B113" s="467">
        <v>58</v>
      </c>
      <c r="C113" s="470" t="s">
        <v>515</v>
      </c>
      <c r="D113" s="468">
        <v>6</v>
      </c>
      <c r="E113" s="469" t="s">
        <v>470</v>
      </c>
      <c r="F113" s="380">
        <v>4.0000000000000002E-4</v>
      </c>
    </row>
    <row r="114" spans="2:7" ht="15.75" customHeight="1">
      <c r="B114" s="467">
        <v>59</v>
      </c>
      <c r="C114" s="130" t="s">
        <v>516</v>
      </c>
      <c r="D114" s="468">
        <f>E55</f>
        <v>30</v>
      </c>
      <c r="E114" s="469" t="s">
        <v>470</v>
      </c>
      <c r="F114" s="380">
        <v>4.3999999999999997E-2</v>
      </c>
    </row>
    <row r="115" spans="2:7" ht="15.75" customHeight="1">
      <c r="B115" s="467">
        <v>62</v>
      </c>
      <c r="C115" s="130" t="s">
        <v>517</v>
      </c>
      <c r="D115" s="468">
        <f>E56</f>
        <v>1</v>
      </c>
      <c r="E115" s="469" t="s">
        <v>470</v>
      </c>
      <c r="F115" s="380">
        <v>1.32E-2</v>
      </c>
    </row>
    <row r="116" spans="2:7" ht="15.75" customHeight="1">
      <c r="B116" s="467">
        <v>63</v>
      </c>
      <c r="C116" s="130" t="s">
        <v>518</v>
      </c>
      <c r="D116" s="468">
        <f>E57</f>
        <v>0.25</v>
      </c>
      <c r="E116" s="469" t="s">
        <v>470</v>
      </c>
      <c r="F116" s="380">
        <v>4.0000000000000001E-3</v>
      </c>
    </row>
    <row r="117" spans="2:7" ht="15.75" customHeight="1">
      <c r="B117" s="467">
        <v>65</v>
      </c>
      <c r="C117" s="130" t="s">
        <v>519</v>
      </c>
      <c r="D117" s="468">
        <v>10</v>
      </c>
      <c r="E117" s="469" t="s">
        <v>470</v>
      </c>
      <c r="F117" s="380">
        <v>3.32E-2</v>
      </c>
    </row>
    <row r="118" spans="2:7" ht="15.75" customHeight="1">
      <c r="B118" s="467">
        <v>66</v>
      </c>
      <c r="C118" s="130" t="s">
        <v>520</v>
      </c>
      <c r="D118" s="468">
        <v>4.5</v>
      </c>
      <c r="E118" s="469" t="s">
        <v>470</v>
      </c>
      <c r="F118" s="380">
        <v>5.8999999999999999E-3</v>
      </c>
    </row>
    <row r="119" spans="2:7" ht="15.75" customHeight="1">
      <c r="B119" s="467">
        <v>67</v>
      </c>
      <c r="C119" s="130" t="s">
        <v>521</v>
      </c>
      <c r="D119" s="468">
        <v>50</v>
      </c>
      <c r="E119" s="469" t="s">
        <v>470</v>
      </c>
      <c r="F119" s="380">
        <v>2.4E-2</v>
      </c>
    </row>
    <row r="120" spans="2:7" ht="15.75" customHeight="1">
      <c r="B120" s="469">
        <v>68</v>
      </c>
      <c r="C120" s="470" t="s">
        <v>522</v>
      </c>
      <c r="D120" s="468">
        <v>250</v>
      </c>
      <c r="E120" s="469" t="s">
        <v>470</v>
      </c>
      <c r="F120" s="380">
        <v>1.1999999999999999E-3</v>
      </c>
    </row>
    <row r="121" spans="2:7" ht="15.75" customHeight="1">
      <c r="B121" s="467">
        <v>70</v>
      </c>
      <c r="C121" s="130" t="s">
        <v>523</v>
      </c>
      <c r="D121" s="468">
        <v>250</v>
      </c>
      <c r="E121" s="469" t="s">
        <v>470</v>
      </c>
      <c r="F121" s="380">
        <v>4.1999999999999997E-3</v>
      </c>
    </row>
    <row r="122" spans="2:7" ht="15.75" customHeight="1">
      <c r="B122" s="467">
        <v>71</v>
      </c>
      <c r="C122" s="130" t="s">
        <v>524</v>
      </c>
      <c r="D122" s="468">
        <f>E63</f>
        <v>0.4</v>
      </c>
      <c r="E122" s="469" t="s">
        <v>470</v>
      </c>
      <c r="F122" s="380">
        <v>2.0799999999999998E-3</v>
      </c>
    </row>
    <row r="123" spans="2:7" ht="15.75" customHeight="1">
      <c r="B123" s="467">
        <v>72</v>
      </c>
      <c r="C123" s="130" t="s">
        <v>525</v>
      </c>
      <c r="D123" s="468">
        <f>E64</f>
        <v>6</v>
      </c>
      <c r="E123" s="469" t="s">
        <v>470</v>
      </c>
      <c r="F123" s="380">
        <v>3.6400000000000002E-2</v>
      </c>
    </row>
    <row r="124" spans="2:7" ht="15.75" customHeight="1">
      <c r="B124" s="467">
        <v>73</v>
      </c>
      <c r="C124" s="130" t="s">
        <v>526</v>
      </c>
      <c r="D124" s="468">
        <f>E65</f>
        <v>0.3</v>
      </c>
      <c r="E124" s="469" t="s">
        <v>470</v>
      </c>
      <c r="F124" s="380">
        <v>1.1999999999999999E-3</v>
      </c>
    </row>
    <row r="125" spans="2:7" ht="15.75" customHeight="1">
      <c r="B125" s="467">
        <v>74</v>
      </c>
      <c r="C125" s="130" t="s">
        <v>527</v>
      </c>
      <c r="D125" s="468">
        <f>E66</f>
        <v>0.35</v>
      </c>
      <c r="E125" s="469" t="s">
        <v>470</v>
      </c>
      <c r="F125" s="380">
        <v>1.4E-3</v>
      </c>
    </row>
    <row r="126" spans="2:7" ht="15.75" customHeight="1">
      <c r="C126" s="56" t="s">
        <v>133</v>
      </c>
      <c r="D126" s="56">
        <f>SUM(D69:D125)</f>
        <v>872.13299999999992</v>
      </c>
      <c r="E126" s="56" t="s">
        <v>355</v>
      </c>
      <c r="F126" s="55">
        <f>SUM(F69:F125)</f>
        <v>1.6280600000000001</v>
      </c>
      <c r="G126" s="56" t="s">
        <v>248</v>
      </c>
    </row>
    <row r="127" spans="2:7" ht="15.75" customHeight="1">
      <c r="D127" s="55">
        <f>D126*365</f>
        <v>318328.54499999998</v>
      </c>
      <c r="E127" s="56" t="s">
        <v>356</v>
      </c>
    </row>
    <row r="128" spans="2:7"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23">
    <mergeCell ref="D76:D77"/>
    <mergeCell ref="E76:E77"/>
    <mergeCell ref="D78:D79"/>
    <mergeCell ref="E78:E79"/>
    <mergeCell ref="D20:D22"/>
    <mergeCell ref="E20:E22"/>
    <mergeCell ref="F20:F22"/>
    <mergeCell ref="D71:D72"/>
    <mergeCell ref="E71:E72"/>
    <mergeCell ref="D73:D74"/>
    <mergeCell ref="E73:E74"/>
    <mergeCell ref="D15:D16"/>
    <mergeCell ref="E15:E16"/>
    <mergeCell ref="F15:F16"/>
    <mergeCell ref="D18:D19"/>
    <mergeCell ref="E18:E19"/>
    <mergeCell ref="F18:F19"/>
    <mergeCell ref="A1:B1"/>
    <mergeCell ref="A3:A4"/>
    <mergeCell ref="B3:Q3"/>
    <mergeCell ref="D13:D14"/>
    <mergeCell ref="E13:E14"/>
    <mergeCell ref="F13:F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854EB-060E-419B-BB17-3855364AD942}">
  <sheetPr>
    <tabColor theme="5" tint="0.59999389629810485"/>
    <outlinePr summaryBelow="0" summaryRight="0"/>
  </sheetPr>
  <dimension ref="A1:CA1000"/>
  <sheetViews>
    <sheetView topLeftCell="A51" workbookViewId="0">
      <pane xSplit="2" topLeftCell="BE1" activePane="topRight" state="frozen"/>
      <selection activeCell="G15" sqref="G15"/>
      <selection pane="topRight" activeCell="G15" sqref="G15"/>
    </sheetView>
  </sheetViews>
  <sheetFormatPr defaultColWidth="12.6640625" defaultRowHeight="15" customHeight="1"/>
  <cols>
    <col min="1" max="1" width="27.88671875" style="535" customWidth="1"/>
    <col min="2" max="79" width="13.88671875" style="535" customWidth="1"/>
    <col min="80" max="16384" width="12.6640625" style="535"/>
  </cols>
  <sheetData>
    <row r="1" spans="1:79" ht="15.75" customHeight="1">
      <c r="A1" s="533"/>
      <c r="B1" s="534"/>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4"/>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row>
    <row r="2" spans="1:79" ht="15.75" customHeight="1">
      <c r="A2" s="536" t="s">
        <v>531</v>
      </c>
      <c r="B2" s="537" t="s">
        <v>0</v>
      </c>
      <c r="C2" s="538">
        <v>1951</v>
      </c>
      <c r="D2" s="538">
        <v>1952</v>
      </c>
      <c r="E2" s="538">
        <v>1953</v>
      </c>
      <c r="F2" s="538">
        <v>1954</v>
      </c>
      <c r="G2" s="538">
        <v>1955</v>
      </c>
      <c r="H2" s="538">
        <v>1956</v>
      </c>
      <c r="I2" s="538">
        <v>1957</v>
      </c>
      <c r="J2" s="538">
        <v>1958</v>
      </c>
      <c r="K2" s="538">
        <v>1959</v>
      </c>
      <c r="L2" s="538">
        <v>1960</v>
      </c>
      <c r="M2" s="538">
        <v>1961</v>
      </c>
      <c r="N2" s="538">
        <v>1962</v>
      </c>
      <c r="O2" s="538">
        <v>1963</v>
      </c>
      <c r="P2" s="538">
        <v>1964</v>
      </c>
      <c r="Q2" s="538">
        <v>1965</v>
      </c>
      <c r="R2" s="538">
        <v>1966</v>
      </c>
      <c r="S2" s="538">
        <v>1967</v>
      </c>
      <c r="T2" s="538">
        <v>1968</v>
      </c>
      <c r="U2" s="538">
        <v>1969</v>
      </c>
      <c r="V2" s="538">
        <v>1970</v>
      </c>
      <c r="W2" s="538">
        <v>1971</v>
      </c>
      <c r="X2" s="538">
        <v>1972</v>
      </c>
      <c r="Y2" s="538">
        <v>1973</v>
      </c>
      <c r="Z2" s="538">
        <v>1974</v>
      </c>
      <c r="AA2" s="538">
        <v>1975</v>
      </c>
      <c r="AB2" s="538">
        <v>1976</v>
      </c>
      <c r="AC2" s="538">
        <v>1977</v>
      </c>
      <c r="AD2" s="538">
        <v>1978</v>
      </c>
      <c r="AE2" s="538">
        <v>1979</v>
      </c>
      <c r="AF2" s="538">
        <v>1980</v>
      </c>
      <c r="AG2" s="538">
        <v>1981</v>
      </c>
      <c r="AH2" s="538">
        <v>1982</v>
      </c>
      <c r="AI2" s="538">
        <v>1983</v>
      </c>
      <c r="AJ2" s="538">
        <v>1984</v>
      </c>
      <c r="AK2" s="538">
        <v>1985</v>
      </c>
      <c r="AL2" s="538">
        <v>1986</v>
      </c>
      <c r="AM2" s="538">
        <v>1987</v>
      </c>
      <c r="AN2" s="538">
        <v>1988</v>
      </c>
      <c r="AO2" s="538">
        <v>1989</v>
      </c>
      <c r="AP2" s="538">
        <v>1990</v>
      </c>
      <c r="AQ2" s="539">
        <v>1991</v>
      </c>
      <c r="AR2" s="539">
        <v>1992</v>
      </c>
      <c r="AS2" s="539">
        <v>1993</v>
      </c>
      <c r="AT2" s="538">
        <v>1994</v>
      </c>
      <c r="AU2" s="538">
        <v>1995</v>
      </c>
      <c r="AV2" s="538">
        <v>1996</v>
      </c>
      <c r="AW2" s="538">
        <v>1997</v>
      </c>
      <c r="AX2" s="538">
        <v>1998</v>
      </c>
      <c r="AY2" s="538">
        <v>1999</v>
      </c>
      <c r="AZ2" s="538">
        <v>2000</v>
      </c>
      <c r="BA2" s="538">
        <v>2001</v>
      </c>
      <c r="BB2" s="538">
        <v>2002</v>
      </c>
      <c r="BC2" s="538">
        <v>2003</v>
      </c>
      <c r="BD2" s="538">
        <v>2004</v>
      </c>
      <c r="BE2" s="538">
        <v>2005</v>
      </c>
      <c r="BF2" s="538">
        <v>2006</v>
      </c>
      <c r="BG2" s="538">
        <v>2007</v>
      </c>
      <c r="BH2" s="538">
        <v>2008</v>
      </c>
      <c r="BI2" s="539">
        <v>2009</v>
      </c>
      <c r="BJ2" s="539">
        <v>2010</v>
      </c>
      <c r="BK2" s="539">
        <v>2011</v>
      </c>
      <c r="BL2" s="539">
        <v>2012</v>
      </c>
      <c r="BM2" s="539">
        <v>2013</v>
      </c>
      <c r="BN2" s="539">
        <v>2014</v>
      </c>
      <c r="BO2" s="539">
        <v>2015</v>
      </c>
      <c r="BP2" s="539">
        <v>2016</v>
      </c>
      <c r="BQ2" s="539">
        <v>2017</v>
      </c>
      <c r="BR2" s="539">
        <v>2018</v>
      </c>
      <c r="BS2" s="539">
        <v>2019</v>
      </c>
      <c r="BT2" s="539">
        <v>2020</v>
      </c>
      <c r="BU2" s="540">
        <v>2021</v>
      </c>
      <c r="BV2" s="539">
        <v>2022</v>
      </c>
      <c r="BW2" s="539">
        <v>2023</v>
      </c>
      <c r="BX2" s="541"/>
      <c r="BY2" s="541"/>
      <c r="BZ2" s="541"/>
      <c r="CA2" s="541"/>
    </row>
    <row r="3" spans="1:79" ht="15.75" customHeight="1">
      <c r="A3" s="542"/>
      <c r="B3" s="543"/>
      <c r="C3" s="544">
        <f>'Urban Population'!C5</f>
        <v>1825832</v>
      </c>
      <c r="D3" s="545">
        <f t="shared" ref="D3:L3" si="0">C3+($C$3*D6%)</f>
        <v>1898662.9</v>
      </c>
      <c r="E3" s="545">
        <f t="shared" si="0"/>
        <v>1971493.7999999998</v>
      </c>
      <c r="F3" s="545">
        <f t="shared" si="0"/>
        <v>2044324.6999999997</v>
      </c>
      <c r="G3" s="545">
        <f t="shared" si="0"/>
        <v>2117155.5999999996</v>
      </c>
      <c r="H3" s="545">
        <f t="shared" si="0"/>
        <v>2189986.4999999995</v>
      </c>
      <c r="I3" s="545">
        <f t="shared" si="0"/>
        <v>2262817.3999999994</v>
      </c>
      <c r="J3" s="545">
        <f t="shared" si="0"/>
        <v>2335648.2999999993</v>
      </c>
      <c r="K3" s="545">
        <f t="shared" si="0"/>
        <v>2408479.1999999993</v>
      </c>
      <c r="L3" s="545">
        <f t="shared" si="0"/>
        <v>2481310.0999999992</v>
      </c>
      <c r="M3" s="545">
        <f>'Urban Population'!C6</f>
        <v>2554141</v>
      </c>
      <c r="N3" s="545">
        <f t="shared" ref="N3:V3" si="1">M3+($M$3*N6%)</f>
        <v>2645371.7999999998</v>
      </c>
      <c r="O3" s="545">
        <f t="shared" si="1"/>
        <v>2736602.5999999996</v>
      </c>
      <c r="P3" s="545">
        <f t="shared" si="1"/>
        <v>2827833.3999999994</v>
      </c>
      <c r="Q3" s="545">
        <f t="shared" si="1"/>
        <v>2919064.1999999993</v>
      </c>
      <c r="R3" s="545">
        <f t="shared" si="1"/>
        <v>3010294.9999999991</v>
      </c>
      <c r="S3" s="545">
        <f t="shared" si="1"/>
        <v>3101525.7999999989</v>
      </c>
      <c r="T3" s="545">
        <f t="shared" si="1"/>
        <v>3192756.5999999987</v>
      </c>
      <c r="U3" s="545">
        <f t="shared" si="1"/>
        <v>3283987.3999999985</v>
      </c>
      <c r="V3" s="545">
        <f t="shared" si="1"/>
        <v>3375218.1999999983</v>
      </c>
      <c r="W3" s="544">
        <f>'Urban Population'!C7</f>
        <v>3466449</v>
      </c>
      <c r="X3" s="545">
        <f t="shared" ref="X3:AF3" si="2">W3+($W$3*X6%)</f>
        <v>3596931.6</v>
      </c>
      <c r="Y3" s="545">
        <f t="shared" si="2"/>
        <v>3727414.2</v>
      </c>
      <c r="Z3" s="545">
        <f t="shared" si="2"/>
        <v>3857896.8000000003</v>
      </c>
      <c r="AA3" s="545">
        <f t="shared" si="2"/>
        <v>3988379.4000000004</v>
      </c>
      <c r="AB3" s="545">
        <f t="shared" si="2"/>
        <v>4118862.0000000005</v>
      </c>
      <c r="AC3" s="545">
        <f t="shared" si="2"/>
        <v>4249344.6000000006</v>
      </c>
      <c r="AD3" s="545">
        <f t="shared" si="2"/>
        <v>4379827.2</v>
      </c>
      <c r="AE3" s="545">
        <f t="shared" si="2"/>
        <v>4510309.8</v>
      </c>
      <c r="AF3" s="545">
        <f t="shared" si="2"/>
        <v>4640792.3999999994</v>
      </c>
      <c r="AG3" s="544">
        <f>'Urban Population'!C8</f>
        <v>4771275</v>
      </c>
      <c r="AH3" s="545">
        <f t="shared" ref="AH3:AP3" si="3">AG3+($AG$3*AH6%)</f>
        <v>5062176.9000000004</v>
      </c>
      <c r="AI3" s="545">
        <f t="shared" si="3"/>
        <v>5353078.8000000007</v>
      </c>
      <c r="AJ3" s="545">
        <f t="shared" si="3"/>
        <v>5643980.7000000011</v>
      </c>
      <c r="AK3" s="545">
        <f t="shared" si="3"/>
        <v>5934882.6000000015</v>
      </c>
      <c r="AL3" s="545">
        <f t="shared" si="3"/>
        <v>6225784.5000000019</v>
      </c>
      <c r="AM3" s="545">
        <f t="shared" si="3"/>
        <v>6516686.4000000022</v>
      </c>
      <c r="AN3" s="545">
        <f t="shared" si="3"/>
        <v>6807588.3000000026</v>
      </c>
      <c r="AO3" s="545">
        <f t="shared" si="3"/>
        <v>7098490.200000003</v>
      </c>
      <c r="AP3" s="545">
        <f t="shared" si="3"/>
        <v>7389392.1000000034</v>
      </c>
      <c r="AQ3" s="546">
        <f>'Urban Population'!C9</f>
        <v>7680294</v>
      </c>
      <c r="AR3" s="546">
        <f t="shared" ref="AR3:AZ3" si="4">AQ3+($AQ$3*AR6%)</f>
        <v>7738957.0999999996</v>
      </c>
      <c r="AS3" s="546">
        <f t="shared" si="4"/>
        <v>7797620.1999999993</v>
      </c>
      <c r="AT3" s="546">
        <f t="shared" si="4"/>
        <v>7856283.2999999989</v>
      </c>
      <c r="AU3" s="546">
        <f t="shared" si="4"/>
        <v>7914946.3999999985</v>
      </c>
      <c r="AV3" s="546">
        <f t="shared" si="4"/>
        <v>7973609.4999999981</v>
      </c>
      <c r="AW3" s="546">
        <f t="shared" si="4"/>
        <v>8032272.5999999978</v>
      </c>
      <c r="AX3" s="546">
        <f t="shared" si="4"/>
        <v>8090935.6999999974</v>
      </c>
      <c r="AY3" s="546">
        <f t="shared" si="4"/>
        <v>8149598.799999997</v>
      </c>
      <c r="AZ3" s="546">
        <f t="shared" si="4"/>
        <v>8208261.8999999966</v>
      </c>
      <c r="BA3" s="546">
        <f t="array" ref="BA3:BU3">TRANSPOSE('Urban Population'!C10:C30)</f>
        <v>8266925</v>
      </c>
      <c r="BB3" s="546">
        <v>8329000</v>
      </c>
      <c r="BC3" s="546">
        <v>8390000</v>
      </c>
      <c r="BD3" s="546">
        <v>8450000</v>
      </c>
      <c r="BE3" s="547">
        <v>8508000</v>
      </c>
      <c r="BF3" s="547">
        <v>8565000</v>
      </c>
      <c r="BG3" s="547">
        <v>8621000</v>
      </c>
      <c r="BH3" s="547">
        <v>8675000</v>
      </c>
      <c r="BI3" s="547">
        <v>8727000</v>
      </c>
      <c r="BJ3" s="547">
        <v>8778000</v>
      </c>
      <c r="BK3" s="547">
        <v>15934926</v>
      </c>
      <c r="BL3" s="547">
        <v>16849000</v>
      </c>
      <c r="BM3" s="547">
        <v>17774000</v>
      </c>
      <c r="BN3" s="547">
        <v>18709000</v>
      </c>
      <c r="BO3" s="547">
        <v>19653000</v>
      </c>
      <c r="BP3" s="547">
        <v>20602000</v>
      </c>
      <c r="BQ3" s="547">
        <v>21524000</v>
      </c>
      <c r="BR3" s="547">
        <v>22447000</v>
      </c>
      <c r="BS3" s="547">
        <v>23369000</v>
      </c>
      <c r="BT3" s="547">
        <v>24287000</v>
      </c>
      <c r="BU3" s="548">
        <v>25200000</v>
      </c>
      <c r="BV3" s="546">
        <f>'Urban Population'!C31</f>
        <v>26079000</v>
      </c>
      <c r="BW3" s="546">
        <f>'Urban Population'!C32</f>
        <v>26947000</v>
      </c>
      <c r="BX3" s="534"/>
      <c r="BY3" s="534"/>
      <c r="BZ3" s="534"/>
      <c r="CA3" s="534"/>
    </row>
    <row r="4" spans="1:79" ht="22.5" customHeight="1">
      <c r="A4" s="549"/>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c r="AB4" s="549"/>
      <c r="AC4" s="549"/>
      <c r="AD4" s="549"/>
      <c r="AE4" s="549"/>
      <c r="AF4" s="549"/>
      <c r="AG4" s="549"/>
      <c r="AH4" s="549"/>
      <c r="AI4" s="549"/>
      <c r="AJ4" s="549"/>
      <c r="AK4" s="549"/>
      <c r="AL4" s="549"/>
      <c r="AM4" s="549"/>
      <c r="AN4" s="549"/>
      <c r="AO4" s="549"/>
      <c r="AP4" s="549"/>
      <c r="AQ4" s="549"/>
      <c r="AR4" s="549"/>
      <c r="AS4" s="549"/>
      <c r="AT4" s="549"/>
      <c r="AU4" s="549"/>
      <c r="AV4" s="549"/>
      <c r="AW4" s="549"/>
      <c r="AX4" s="549"/>
      <c r="AY4" s="549"/>
      <c r="AZ4" s="549"/>
      <c r="BA4" s="549"/>
      <c r="BB4" s="549"/>
      <c r="BC4" s="549"/>
      <c r="BD4" s="549"/>
      <c r="BE4" s="549"/>
      <c r="BF4" s="549"/>
      <c r="BG4" s="549"/>
      <c r="BH4" s="549"/>
      <c r="BI4" s="549"/>
      <c r="BJ4" s="549"/>
      <c r="BK4" s="549"/>
      <c r="BL4" s="549"/>
      <c r="BM4" s="549"/>
      <c r="BN4" s="549"/>
      <c r="BO4" s="549"/>
      <c r="BP4" s="549"/>
      <c r="BQ4" s="549"/>
      <c r="BR4" s="549"/>
      <c r="BS4" s="549"/>
      <c r="BT4" s="549"/>
      <c r="BU4" s="549"/>
      <c r="BV4" s="549"/>
      <c r="BW4" s="549"/>
      <c r="BX4" s="534"/>
      <c r="BY4" s="534"/>
      <c r="BZ4" s="534"/>
      <c r="CA4" s="534"/>
    </row>
    <row r="5" spans="1:79" ht="15.75" customHeight="1">
      <c r="A5" s="536" t="s">
        <v>532</v>
      </c>
      <c r="B5" s="537" t="s">
        <v>533</v>
      </c>
      <c r="C5" s="538">
        <v>1951</v>
      </c>
      <c r="D5" s="538">
        <v>1952</v>
      </c>
      <c r="E5" s="538">
        <v>1953</v>
      </c>
      <c r="F5" s="538">
        <v>1954</v>
      </c>
      <c r="G5" s="538">
        <v>1955</v>
      </c>
      <c r="H5" s="538">
        <v>1956</v>
      </c>
      <c r="I5" s="538">
        <v>1957</v>
      </c>
      <c r="J5" s="538">
        <v>1958</v>
      </c>
      <c r="K5" s="538">
        <v>1959</v>
      </c>
      <c r="L5" s="538">
        <v>1960</v>
      </c>
      <c r="M5" s="538">
        <v>1961</v>
      </c>
      <c r="N5" s="538">
        <v>1962</v>
      </c>
      <c r="O5" s="538">
        <v>1963</v>
      </c>
      <c r="P5" s="538">
        <v>1964</v>
      </c>
      <c r="Q5" s="538">
        <v>1965</v>
      </c>
      <c r="R5" s="538">
        <v>1966</v>
      </c>
      <c r="S5" s="538">
        <v>1967</v>
      </c>
      <c r="T5" s="538">
        <v>1968</v>
      </c>
      <c r="U5" s="538">
        <v>1969</v>
      </c>
      <c r="V5" s="538">
        <v>1970</v>
      </c>
      <c r="W5" s="538">
        <v>1971</v>
      </c>
      <c r="X5" s="538">
        <v>1972</v>
      </c>
      <c r="Y5" s="538">
        <v>1973</v>
      </c>
      <c r="Z5" s="538">
        <v>1974</v>
      </c>
      <c r="AA5" s="538">
        <v>1975</v>
      </c>
      <c r="AB5" s="538">
        <v>1976</v>
      </c>
      <c r="AC5" s="538">
        <v>1977</v>
      </c>
      <c r="AD5" s="538">
        <v>1978</v>
      </c>
      <c r="AE5" s="538">
        <v>1979</v>
      </c>
      <c r="AF5" s="538">
        <v>1980</v>
      </c>
      <c r="AG5" s="538">
        <v>1981</v>
      </c>
      <c r="AH5" s="538">
        <v>1982</v>
      </c>
      <c r="AI5" s="538">
        <v>1983</v>
      </c>
      <c r="AJ5" s="538">
        <v>1984</v>
      </c>
      <c r="AK5" s="538">
        <v>1985</v>
      </c>
      <c r="AL5" s="538">
        <v>1986</v>
      </c>
      <c r="AM5" s="538">
        <v>1987</v>
      </c>
      <c r="AN5" s="538">
        <v>1988</v>
      </c>
      <c r="AO5" s="538">
        <v>1989</v>
      </c>
      <c r="AP5" s="538">
        <v>1990</v>
      </c>
      <c r="AQ5" s="539">
        <v>1991</v>
      </c>
      <c r="AR5" s="539">
        <v>1992</v>
      </c>
      <c r="AS5" s="539">
        <v>1993</v>
      </c>
      <c r="AT5" s="538">
        <v>1994</v>
      </c>
      <c r="AU5" s="538">
        <v>1995</v>
      </c>
      <c r="AV5" s="538">
        <v>1996</v>
      </c>
      <c r="AW5" s="538">
        <v>1997</v>
      </c>
      <c r="AX5" s="538">
        <v>1998</v>
      </c>
      <c r="AY5" s="538">
        <v>1999</v>
      </c>
      <c r="AZ5" s="538">
        <v>2000</v>
      </c>
      <c r="BA5" s="538">
        <v>2001</v>
      </c>
      <c r="BB5" s="538">
        <v>2002</v>
      </c>
      <c r="BC5" s="538">
        <v>2003</v>
      </c>
      <c r="BD5" s="538">
        <v>2004</v>
      </c>
      <c r="BE5" s="538">
        <v>2005</v>
      </c>
      <c r="BF5" s="538">
        <v>2006</v>
      </c>
      <c r="BG5" s="538">
        <v>2007</v>
      </c>
      <c r="BH5" s="538">
        <v>2008</v>
      </c>
      <c r="BI5" s="539">
        <v>2009</v>
      </c>
      <c r="BJ5" s="539">
        <v>2010</v>
      </c>
      <c r="BK5" s="539">
        <v>2011</v>
      </c>
      <c r="BL5" s="539">
        <v>2012</v>
      </c>
      <c r="BM5" s="539">
        <v>2013</v>
      </c>
      <c r="BN5" s="539">
        <v>2014</v>
      </c>
      <c r="BO5" s="539">
        <v>2015</v>
      </c>
      <c r="BP5" s="539">
        <v>2016</v>
      </c>
      <c r="BQ5" s="539">
        <v>2017</v>
      </c>
      <c r="BR5" s="539">
        <v>2018</v>
      </c>
      <c r="BS5" s="539">
        <v>2019</v>
      </c>
      <c r="BT5" s="539">
        <v>2020</v>
      </c>
      <c r="BU5" s="539">
        <v>2021</v>
      </c>
      <c r="BV5" s="539">
        <v>2021</v>
      </c>
      <c r="BW5" s="539">
        <v>2021</v>
      </c>
      <c r="BX5" s="534"/>
    </row>
    <row r="6" spans="1:79" ht="15.75" customHeight="1">
      <c r="A6" s="542"/>
      <c r="B6" s="543"/>
      <c r="C6" s="550">
        <f t="shared" ref="C6:L6" si="5">((($M$3-$C$3)/$C$3)/10)*100</f>
        <v>3.9889157381402014</v>
      </c>
      <c r="D6" s="550">
        <f t="shared" si="5"/>
        <v>3.9889157381402014</v>
      </c>
      <c r="E6" s="550">
        <f t="shared" si="5"/>
        <v>3.9889157381402014</v>
      </c>
      <c r="F6" s="550">
        <f t="shared" si="5"/>
        <v>3.9889157381402014</v>
      </c>
      <c r="G6" s="550">
        <f t="shared" si="5"/>
        <v>3.9889157381402014</v>
      </c>
      <c r="H6" s="550">
        <f t="shared" si="5"/>
        <v>3.9889157381402014</v>
      </c>
      <c r="I6" s="550">
        <f t="shared" si="5"/>
        <v>3.9889157381402014</v>
      </c>
      <c r="J6" s="550">
        <f t="shared" si="5"/>
        <v>3.9889157381402014</v>
      </c>
      <c r="K6" s="550">
        <f t="shared" si="5"/>
        <v>3.9889157381402014</v>
      </c>
      <c r="L6" s="550">
        <f t="shared" si="5"/>
        <v>3.9889157381402014</v>
      </c>
      <c r="M6" s="550">
        <f t="shared" ref="M6:V6" si="6">((($W$3-$M$3)/$M$3)/10)*100</f>
        <v>3.5718779816775972</v>
      </c>
      <c r="N6" s="550">
        <f t="shared" si="6"/>
        <v>3.5718779816775972</v>
      </c>
      <c r="O6" s="550">
        <f t="shared" si="6"/>
        <v>3.5718779816775972</v>
      </c>
      <c r="P6" s="550">
        <f t="shared" si="6"/>
        <v>3.5718779816775972</v>
      </c>
      <c r="Q6" s="550">
        <f t="shared" si="6"/>
        <v>3.5718779816775972</v>
      </c>
      <c r="R6" s="550">
        <f t="shared" si="6"/>
        <v>3.5718779816775972</v>
      </c>
      <c r="S6" s="550">
        <f t="shared" si="6"/>
        <v>3.5718779816775972</v>
      </c>
      <c r="T6" s="550">
        <f t="shared" si="6"/>
        <v>3.5718779816775972</v>
      </c>
      <c r="U6" s="550">
        <f t="shared" si="6"/>
        <v>3.5718779816775972</v>
      </c>
      <c r="V6" s="550">
        <f t="shared" si="6"/>
        <v>3.5718779816775972</v>
      </c>
      <c r="W6" s="550">
        <f t="shared" ref="W6:AF6" si="7">((($AG$3-$W$3)/$W$3)/10)*100</f>
        <v>3.7641574995045364</v>
      </c>
      <c r="X6" s="550">
        <f t="shared" si="7"/>
        <v>3.7641574995045364</v>
      </c>
      <c r="Y6" s="550">
        <f t="shared" si="7"/>
        <v>3.7641574995045364</v>
      </c>
      <c r="Z6" s="550">
        <f t="shared" si="7"/>
        <v>3.7641574995045364</v>
      </c>
      <c r="AA6" s="550">
        <f t="shared" si="7"/>
        <v>3.7641574995045364</v>
      </c>
      <c r="AB6" s="550">
        <f t="shared" si="7"/>
        <v>3.7641574995045364</v>
      </c>
      <c r="AC6" s="550">
        <f t="shared" si="7"/>
        <v>3.7641574995045364</v>
      </c>
      <c r="AD6" s="550">
        <f t="shared" si="7"/>
        <v>3.7641574995045364</v>
      </c>
      <c r="AE6" s="550">
        <f t="shared" si="7"/>
        <v>3.7641574995045364</v>
      </c>
      <c r="AF6" s="550">
        <f t="shared" si="7"/>
        <v>3.7641574995045364</v>
      </c>
      <c r="AG6" s="550">
        <f t="shared" ref="AG6:AP6" si="8">((($AQ$3-$AG$3)/$AG$3)/10)*100</f>
        <v>6.0969426411179404</v>
      </c>
      <c r="AH6" s="550">
        <f t="shared" si="8"/>
        <v>6.0969426411179404</v>
      </c>
      <c r="AI6" s="550">
        <f t="shared" si="8"/>
        <v>6.0969426411179404</v>
      </c>
      <c r="AJ6" s="550">
        <f t="shared" si="8"/>
        <v>6.0969426411179404</v>
      </c>
      <c r="AK6" s="550">
        <f t="shared" si="8"/>
        <v>6.0969426411179404</v>
      </c>
      <c r="AL6" s="550">
        <f t="shared" si="8"/>
        <v>6.0969426411179404</v>
      </c>
      <c r="AM6" s="550">
        <f t="shared" si="8"/>
        <v>6.0969426411179404</v>
      </c>
      <c r="AN6" s="550">
        <f t="shared" si="8"/>
        <v>6.0969426411179404</v>
      </c>
      <c r="AO6" s="550">
        <f t="shared" si="8"/>
        <v>6.0969426411179404</v>
      </c>
      <c r="AP6" s="550">
        <f t="shared" si="8"/>
        <v>6.0969426411179404</v>
      </c>
      <c r="AQ6" s="550">
        <f t="shared" ref="AQ6:AZ6" si="9">((($BA$3-$AQ$3)/$AQ$3)/10)*100</f>
        <v>0.7638132081922907</v>
      </c>
      <c r="AR6" s="550">
        <f t="shared" si="9"/>
        <v>0.7638132081922907</v>
      </c>
      <c r="AS6" s="550">
        <f t="shared" si="9"/>
        <v>0.7638132081922907</v>
      </c>
      <c r="AT6" s="550">
        <f t="shared" si="9"/>
        <v>0.7638132081922907</v>
      </c>
      <c r="AU6" s="550">
        <f t="shared" si="9"/>
        <v>0.7638132081922907</v>
      </c>
      <c r="AV6" s="550">
        <f t="shared" si="9"/>
        <v>0.7638132081922907</v>
      </c>
      <c r="AW6" s="550">
        <f t="shared" si="9"/>
        <v>0.7638132081922907</v>
      </c>
      <c r="AX6" s="550">
        <f t="shared" si="9"/>
        <v>0.7638132081922907</v>
      </c>
      <c r="AY6" s="550">
        <f t="shared" si="9"/>
        <v>0.7638132081922907</v>
      </c>
      <c r="AZ6" s="550">
        <f t="shared" si="9"/>
        <v>0.7638132081922907</v>
      </c>
      <c r="BA6" s="550"/>
      <c r="BB6" s="550"/>
      <c r="BC6" s="550"/>
      <c r="BD6" s="550"/>
      <c r="BE6" s="547" t="s">
        <v>534</v>
      </c>
      <c r="BF6" s="547" t="s">
        <v>534</v>
      </c>
      <c r="BG6" s="547" t="s">
        <v>534</v>
      </c>
      <c r="BH6" s="547" t="s">
        <v>534</v>
      </c>
      <c r="BI6" s="547" t="s">
        <v>534</v>
      </c>
      <c r="BJ6" s="547" t="s">
        <v>534</v>
      </c>
      <c r="BK6" s="547" t="s">
        <v>534</v>
      </c>
      <c r="BL6" s="547" t="s">
        <v>534</v>
      </c>
      <c r="BM6" s="547" t="s">
        <v>534</v>
      </c>
      <c r="BN6" s="547" t="s">
        <v>534</v>
      </c>
      <c r="BO6" s="547" t="s">
        <v>534</v>
      </c>
      <c r="BP6" s="547" t="s">
        <v>534</v>
      </c>
      <c r="BQ6" s="547" t="s">
        <v>534</v>
      </c>
      <c r="BR6" s="547" t="s">
        <v>534</v>
      </c>
      <c r="BS6" s="547" t="s">
        <v>534</v>
      </c>
      <c r="BT6" s="547" t="s">
        <v>534</v>
      </c>
      <c r="BU6" s="547" t="s">
        <v>534</v>
      </c>
      <c r="BV6" s="547" t="s">
        <v>534</v>
      </c>
      <c r="BW6" s="547" t="s">
        <v>534</v>
      </c>
      <c r="BX6" s="534"/>
    </row>
    <row r="7" spans="1:79" ht="15.75" customHeight="1">
      <c r="A7" s="549"/>
      <c r="B7" s="549"/>
      <c r="C7" s="549"/>
      <c r="D7" s="549"/>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549"/>
      <c r="AJ7" s="549"/>
      <c r="AK7" s="549"/>
      <c r="AL7" s="549"/>
      <c r="AM7" s="549"/>
      <c r="AN7" s="549"/>
      <c r="AO7" s="549"/>
      <c r="AP7" s="549"/>
      <c r="AQ7" s="549"/>
      <c r="AR7" s="549"/>
      <c r="AS7" s="549"/>
      <c r="AT7" s="549"/>
      <c r="AU7" s="549"/>
      <c r="AV7" s="549"/>
      <c r="AW7" s="549"/>
      <c r="AX7" s="549"/>
      <c r="AY7" s="549"/>
      <c r="AZ7" s="549"/>
      <c r="BA7" s="549"/>
      <c r="BB7" s="549"/>
      <c r="BC7" s="549"/>
      <c r="BD7" s="549"/>
      <c r="BE7" s="549"/>
      <c r="BF7" s="549"/>
      <c r="BG7" s="549"/>
      <c r="BH7" s="549"/>
      <c r="BI7" s="549"/>
      <c r="BJ7" s="549"/>
      <c r="BK7" s="549"/>
      <c r="BL7" s="549"/>
      <c r="BM7" s="549"/>
      <c r="BN7" s="549"/>
      <c r="BO7" s="549"/>
      <c r="BP7" s="549"/>
      <c r="BQ7" s="549"/>
      <c r="BR7" s="549"/>
      <c r="BS7" s="549"/>
      <c r="BT7" s="549"/>
      <c r="BU7" s="549"/>
      <c r="BV7" s="534"/>
      <c r="BW7" s="534"/>
      <c r="BX7" s="534"/>
    </row>
    <row r="8" spans="1:79" ht="15.75" customHeight="1">
      <c r="A8" s="551" t="s">
        <v>535</v>
      </c>
      <c r="B8" s="552" t="s">
        <v>536</v>
      </c>
      <c r="C8" s="553">
        <v>1951</v>
      </c>
      <c r="D8" s="554">
        <v>1952</v>
      </c>
      <c r="E8" s="554">
        <v>1953</v>
      </c>
      <c r="F8" s="554">
        <v>1954</v>
      </c>
      <c r="G8" s="554">
        <v>1955</v>
      </c>
      <c r="H8" s="554">
        <v>1956</v>
      </c>
      <c r="I8" s="554">
        <v>1957</v>
      </c>
      <c r="J8" s="554">
        <v>1958</v>
      </c>
      <c r="K8" s="554">
        <v>1959</v>
      </c>
      <c r="L8" s="554">
        <v>1960</v>
      </c>
      <c r="M8" s="554">
        <v>1961</v>
      </c>
      <c r="N8" s="554">
        <v>1962</v>
      </c>
      <c r="O8" s="554">
        <v>1963</v>
      </c>
      <c r="P8" s="554">
        <v>1964</v>
      </c>
      <c r="Q8" s="554">
        <v>1965</v>
      </c>
      <c r="R8" s="554">
        <v>1966</v>
      </c>
      <c r="S8" s="554">
        <v>1967</v>
      </c>
      <c r="T8" s="554">
        <v>1968</v>
      </c>
      <c r="U8" s="554">
        <v>1969</v>
      </c>
      <c r="V8" s="554">
        <v>1970</v>
      </c>
      <c r="W8" s="554">
        <v>1971</v>
      </c>
      <c r="X8" s="554">
        <v>1972</v>
      </c>
      <c r="Y8" s="554">
        <v>1973</v>
      </c>
      <c r="Z8" s="554">
        <v>1974</v>
      </c>
      <c r="AA8" s="554">
        <v>1975</v>
      </c>
      <c r="AB8" s="554">
        <v>1976</v>
      </c>
      <c r="AC8" s="554">
        <v>1977</v>
      </c>
      <c r="AD8" s="554">
        <v>1978</v>
      </c>
      <c r="AE8" s="554">
        <v>1979</v>
      </c>
      <c r="AF8" s="554">
        <v>1980</v>
      </c>
      <c r="AG8" s="553">
        <v>1981</v>
      </c>
      <c r="AH8" s="554">
        <v>1982</v>
      </c>
      <c r="AI8" s="554">
        <v>1983</v>
      </c>
      <c r="AJ8" s="554">
        <v>1984</v>
      </c>
      <c r="AK8" s="554">
        <v>1985</v>
      </c>
      <c r="AL8" s="554">
        <v>1986</v>
      </c>
      <c r="AM8" s="554">
        <v>1987</v>
      </c>
      <c r="AN8" s="554">
        <v>1988</v>
      </c>
      <c r="AO8" s="554">
        <v>1989</v>
      </c>
      <c r="AP8" s="554">
        <v>1990</v>
      </c>
      <c r="AQ8" s="555">
        <v>1991</v>
      </c>
      <c r="AR8" s="555">
        <v>1992</v>
      </c>
      <c r="AS8" s="555">
        <v>1993</v>
      </c>
      <c r="AT8" s="553">
        <v>1994</v>
      </c>
      <c r="AU8" s="554">
        <v>1995</v>
      </c>
      <c r="AV8" s="554">
        <v>1996</v>
      </c>
      <c r="AW8" s="554">
        <v>1997</v>
      </c>
      <c r="AX8" s="554">
        <v>1998</v>
      </c>
      <c r="AY8" s="554">
        <v>1999</v>
      </c>
      <c r="AZ8" s="554">
        <v>2000</v>
      </c>
      <c r="BA8" s="554">
        <v>2001</v>
      </c>
      <c r="BB8" s="554">
        <v>2002</v>
      </c>
      <c r="BC8" s="554">
        <v>2003</v>
      </c>
      <c r="BD8" s="554">
        <v>2004</v>
      </c>
      <c r="BE8" s="554">
        <v>2005</v>
      </c>
      <c r="BF8" s="554">
        <v>2006</v>
      </c>
      <c r="BG8" s="554">
        <v>2007</v>
      </c>
      <c r="BH8" s="556">
        <v>2008</v>
      </c>
      <c r="BI8" s="540">
        <v>2009</v>
      </c>
      <c r="BJ8" s="555">
        <v>2010</v>
      </c>
      <c r="BK8" s="555">
        <v>2011</v>
      </c>
      <c r="BL8" s="555">
        <v>2012</v>
      </c>
      <c r="BM8" s="555">
        <v>2013</v>
      </c>
      <c r="BN8" s="555">
        <v>2014</v>
      </c>
      <c r="BO8" s="555">
        <v>2015</v>
      </c>
      <c r="BP8" s="555">
        <v>2016</v>
      </c>
      <c r="BQ8" s="555">
        <v>2017</v>
      </c>
      <c r="BR8" s="555">
        <v>2018</v>
      </c>
      <c r="BS8" s="555">
        <v>2019</v>
      </c>
      <c r="BT8" s="555">
        <v>2020</v>
      </c>
      <c r="BU8" s="557">
        <v>2021</v>
      </c>
      <c r="BV8" s="557">
        <v>2022</v>
      </c>
      <c r="BW8" s="557">
        <v>2023</v>
      </c>
      <c r="BX8" s="534"/>
    </row>
    <row r="9" spans="1:79" ht="15.75" customHeight="1">
      <c r="A9" s="558"/>
      <c r="B9" s="559"/>
      <c r="C9" s="560">
        <f t="shared" ref="C9:AU9" si="10">D9-($AV$9*C12%)</f>
        <v>76.754999999999683</v>
      </c>
      <c r="D9" s="560">
        <f t="shared" si="10"/>
        <v>79.715999999999681</v>
      </c>
      <c r="E9" s="560">
        <f t="shared" si="10"/>
        <v>82.67699999999968</v>
      </c>
      <c r="F9" s="560">
        <f t="shared" si="10"/>
        <v>85.637999999999678</v>
      </c>
      <c r="G9" s="560">
        <f t="shared" si="10"/>
        <v>88.598999999999677</v>
      </c>
      <c r="H9" s="560">
        <f t="shared" si="10"/>
        <v>91.559999999999675</v>
      </c>
      <c r="I9" s="560">
        <f t="shared" si="10"/>
        <v>94.520999999999674</v>
      </c>
      <c r="J9" s="560">
        <f t="shared" si="10"/>
        <v>97.481999999999672</v>
      </c>
      <c r="K9" s="560">
        <f t="shared" si="10"/>
        <v>100.44299999999967</v>
      </c>
      <c r="L9" s="560">
        <f t="shared" si="10"/>
        <v>103.40399999999967</v>
      </c>
      <c r="M9" s="560">
        <f t="shared" si="10"/>
        <v>106.36499999999967</v>
      </c>
      <c r="N9" s="560">
        <f t="shared" si="10"/>
        <v>109.32599999999967</v>
      </c>
      <c r="O9" s="560">
        <f t="shared" si="10"/>
        <v>112.28699999999967</v>
      </c>
      <c r="P9" s="560">
        <f t="shared" si="10"/>
        <v>115.24799999999966</v>
      </c>
      <c r="Q9" s="560">
        <f t="shared" si="10"/>
        <v>118.20899999999966</v>
      </c>
      <c r="R9" s="560">
        <f t="shared" si="10"/>
        <v>121.16999999999966</v>
      </c>
      <c r="S9" s="560">
        <f t="shared" si="10"/>
        <v>124.13099999999966</v>
      </c>
      <c r="T9" s="560">
        <f t="shared" si="10"/>
        <v>127.09199999999966</v>
      </c>
      <c r="U9" s="560">
        <f t="shared" si="10"/>
        <v>130.05299999999966</v>
      </c>
      <c r="V9" s="560">
        <f t="shared" si="10"/>
        <v>133.01399999999967</v>
      </c>
      <c r="W9" s="560">
        <f t="shared" si="10"/>
        <v>135.97499999999968</v>
      </c>
      <c r="X9" s="560">
        <f t="shared" si="10"/>
        <v>138.93599999999969</v>
      </c>
      <c r="Y9" s="560">
        <f t="shared" si="10"/>
        <v>141.89699999999971</v>
      </c>
      <c r="Z9" s="560">
        <f t="shared" si="10"/>
        <v>144.85799999999972</v>
      </c>
      <c r="AA9" s="560">
        <f t="shared" si="10"/>
        <v>147.81899999999973</v>
      </c>
      <c r="AB9" s="560">
        <f t="shared" si="10"/>
        <v>150.77999999999975</v>
      </c>
      <c r="AC9" s="560">
        <f t="shared" si="10"/>
        <v>153.74099999999976</v>
      </c>
      <c r="AD9" s="560">
        <f t="shared" si="10"/>
        <v>156.70199999999977</v>
      </c>
      <c r="AE9" s="560">
        <f t="shared" si="10"/>
        <v>159.66299999999978</v>
      </c>
      <c r="AF9" s="560">
        <f t="shared" si="10"/>
        <v>162.6239999999998</v>
      </c>
      <c r="AG9" s="560">
        <f t="shared" si="10"/>
        <v>165.58499999999981</v>
      </c>
      <c r="AH9" s="560">
        <f t="shared" si="10"/>
        <v>168.54599999999982</v>
      </c>
      <c r="AI9" s="560">
        <f t="shared" si="10"/>
        <v>171.50699999999983</v>
      </c>
      <c r="AJ9" s="560">
        <f t="shared" si="10"/>
        <v>174.46799999999985</v>
      </c>
      <c r="AK9" s="560">
        <f t="shared" si="10"/>
        <v>177.42899999999986</v>
      </c>
      <c r="AL9" s="560">
        <f t="shared" si="10"/>
        <v>180.38999999999987</v>
      </c>
      <c r="AM9" s="560">
        <f t="shared" si="10"/>
        <v>183.35099999999989</v>
      </c>
      <c r="AN9" s="560">
        <f t="shared" si="10"/>
        <v>186.3119999999999</v>
      </c>
      <c r="AO9" s="560">
        <f t="shared" si="10"/>
        <v>189.27299999999991</v>
      </c>
      <c r="AP9" s="560">
        <f t="shared" si="10"/>
        <v>192.23399999999992</v>
      </c>
      <c r="AQ9" s="560">
        <f t="shared" si="10"/>
        <v>195.19499999999994</v>
      </c>
      <c r="AR9" s="560">
        <f t="shared" si="10"/>
        <v>198.15599999999995</v>
      </c>
      <c r="AS9" s="560">
        <f t="shared" si="10"/>
        <v>201.11699999999996</v>
      </c>
      <c r="AT9" s="560">
        <f t="shared" si="10"/>
        <v>204.07799999999997</v>
      </c>
      <c r="AU9" s="560">
        <f t="shared" si="10"/>
        <v>207.03899999999999</v>
      </c>
      <c r="AV9" s="561">
        <f>'Per capita waste generation'!C6</f>
        <v>210</v>
      </c>
      <c r="AW9" s="562">
        <f t="shared" ref="AW9:AZ9" si="11">AV9*(1+AW12)</f>
        <v>210.38436264463456</v>
      </c>
      <c r="AX9" s="562">
        <f t="shared" si="11"/>
        <v>210.76942878756716</v>
      </c>
      <c r="AY9" s="562">
        <f t="shared" si="11"/>
        <v>211.15519971640956</v>
      </c>
      <c r="AZ9" s="562">
        <f t="shared" si="11"/>
        <v>211.54167672113022</v>
      </c>
      <c r="BA9" s="563">
        <f>'Per capita waste generation'!F13</f>
        <v>211.92886109405856</v>
      </c>
      <c r="BB9" s="560">
        <f t="shared" ref="BB9:BE9" si="12">BA9*(1+BB12)</f>
        <v>214.78884220937962</v>
      </c>
      <c r="BC9" s="560">
        <f t="shared" si="12"/>
        <v>217.68741878516684</v>
      </c>
      <c r="BD9" s="560">
        <f t="shared" si="12"/>
        <v>220.6251116673659</v>
      </c>
      <c r="BE9" s="560">
        <f t="shared" si="12"/>
        <v>223.60244873074126</v>
      </c>
      <c r="BF9" s="560">
        <f>'Per capita waste generation'!F21</f>
        <v>226.6199649737303</v>
      </c>
      <c r="BG9" s="560">
        <f t="shared" ref="BG9:BS9" si="13">BF9*(1+BG12)</f>
        <v>238.12602515301288</v>
      </c>
      <c r="BH9" s="560">
        <f t="shared" si="13"/>
        <v>250.21627667159169</v>
      </c>
      <c r="BI9" s="560">
        <f t="shared" si="13"/>
        <v>262.92038037910521</v>
      </c>
      <c r="BJ9" s="560">
        <f t="shared" si="13"/>
        <v>276.26950308041938</v>
      </c>
      <c r="BK9" s="560">
        <f t="shared" si="13"/>
        <v>290.29639399672624</v>
      </c>
      <c r="BL9" s="560">
        <f t="shared" si="13"/>
        <v>305.03546510876282</v>
      </c>
      <c r="BM9" s="560">
        <f t="shared" si="13"/>
        <v>320.5228755792557</v>
      </c>
      <c r="BN9" s="560">
        <f t="shared" si="13"/>
        <v>336.79662046170296</v>
      </c>
      <c r="BO9" s="560">
        <f t="shared" si="13"/>
        <v>353.89662391312243</v>
      </c>
      <c r="BP9" s="560">
        <f t="shared" si="13"/>
        <v>371.86483713944313</v>
      </c>
      <c r="BQ9" s="560">
        <f t="shared" si="13"/>
        <v>390.74534131382836</v>
      </c>
      <c r="BR9" s="560">
        <f t="shared" si="13"/>
        <v>410.58445572041819</v>
      </c>
      <c r="BS9" s="560">
        <f t="shared" si="13"/>
        <v>431.43085138879957</v>
      </c>
      <c r="BT9" s="564">
        <f>'Per capita waste generation'!F33</f>
        <v>453.33567049798097</v>
      </c>
      <c r="BU9" s="565">
        <f t="shared" ref="BU9:BW9" si="14">BT9*(1+BU12)</f>
        <v>476.3526518428057</v>
      </c>
      <c r="BV9" s="565">
        <f t="shared" si="14"/>
        <v>500.53826267060504</v>
      </c>
      <c r="BW9" s="565">
        <f t="shared" si="14"/>
        <v>525.95183721152921</v>
      </c>
      <c r="BX9" s="534"/>
    </row>
    <row r="10" spans="1:79" ht="15.75" customHeight="1">
      <c r="A10" s="549"/>
      <c r="B10" s="549"/>
      <c r="C10" s="549"/>
      <c r="D10" s="549"/>
      <c r="E10" s="549"/>
      <c r="F10" s="549"/>
      <c r="G10" s="549"/>
      <c r="H10" s="549"/>
      <c r="I10" s="549"/>
      <c r="J10" s="549"/>
      <c r="K10" s="549"/>
      <c r="L10" s="549"/>
      <c r="M10" s="549"/>
      <c r="N10" s="549"/>
      <c r="O10" s="549"/>
      <c r="P10" s="549"/>
      <c r="Q10" s="549"/>
      <c r="R10" s="549"/>
      <c r="S10" s="549"/>
      <c r="T10" s="549"/>
      <c r="U10" s="549"/>
      <c r="V10" s="549"/>
      <c r="W10" s="549"/>
      <c r="X10" s="549"/>
      <c r="Y10" s="549"/>
      <c r="Z10" s="549"/>
      <c r="AA10" s="549"/>
      <c r="AB10" s="549"/>
      <c r="AC10" s="549"/>
      <c r="AD10" s="549"/>
      <c r="AE10" s="549"/>
      <c r="AF10" s="549"/>
      <c r="AG10" s="549"/>
      <c r="AH10" s="549"/>
      <c r="AI10" s="549"/>
      <c r="AJ10" s="549"/>
      <c r="AK10" s="549"/>
      <c r="AL10" s="549"/>
      <c r="AM10" s="549"/>
      <c r="AN10" s="549"/>
      <c r="AO10" s="549"/>
      <c r="AP10" s="549"/>
      <c r="AQ10" s="549"/>
      <c r="AR10" s="549"/>
      <c r="AS10" s="549"/>
      <c r="AT10" s="549"/>
      <c r="AU10" s="549"/>
      <c r="AV10" s="549"/>
      <c r="AW10" s="549"/>
      <c r="AX10" s="549"/>
      <c r="AY10" s="549"/>
      <c r="AZ10" s="549"/>
      <c r="BA10" s="549"/>
      <c r="BB10" s="566"/>
      <c r="BC10" s="566"/>
      <c r="BD10" s="566"/>
      <c r="BE10" s="566"/>
      <c r="BF10" s="566"/>
      <c r="BG10" s="566"/>
      <c r="BH10" s="566"/>
      <c r="BI10" s="566"/>
      <c r="BJ10" s="566"/>
      <c r="BK10" s="566"/>
      <c r="BL10" s="566"/>
      <c r="BM10" s="549"/>
      <c r="BN10" s="549"/>
      <c r="BO10" s="549"/>
      <c r="BP10" s="549"/>
      <c r="BQ10" s="549"/>
      <c r="BR10" s="549"/>
      <c r="BS10" s="549"/>
      <c r="BT10" s="549"/>
      <c r="BU10" s="549"/>
      <c r="BV10" s="534"/>
      <c r="BW10" s="534"/>
      <c r="BX10" s="534"/>
    </row>
    <row r="11" spans="1:79" ht="15.75" customHeight="1">
      <c r="A11" s="551" t="s">
        <v>537</v>
      </c>
      <c r="B11" s="552" t="s">
        <v>536</v>
      </c>
      <c r="C11" s="553">
        <v>1951</v>
      </c>
      <c r="D11" s="554">
        <v>1952</v>
      </c>
      <c r="E11" s="554">
        <v>1953</v>
      </c>
      <c r="F11" s="554">
        <v>1954</v>
      </c>
      <c r="G11" s="554">
        <v>1955</v>
      </c>
      <c r="H11" s="554">
        <v>1956</v>
      </c>
      <c r="I11" s="554">
        <v>1957</v>
      </c>
      <c r="J11" s="554">
        <v>1958</v>
      </c>
      <c r="K11" s="554">
        <v>1959</v>
      </c>
      <c r="L11" s="554">
        <v>1960</v>
      </c>
      <c r="M11" s="554">
        <v>1961</v>
      </c>
      <c r="N11" s="554">
        <v>1962</v>
      </c>
      <c r="O11" s="554">
        <v>1963</v>
      </c>
      <c r="P11" s="554">
        <v>1964</v>
      </c>
      <c r="Q11" s="554">
        <v>1965</v>
      </c>
      <c r="R11" s="554">
        <v>1966</v>
      </c>
      <c r="S11" s="554">
        <v>1967</v>
      </c>
      <c r="T11" s="554">
        <v>1968</v>
      </c>
      <c r="U11" s="554">
        <v>1969</v>
      </c>
      <c r="V11" s="554">
        <v>1970</v>
      </c>
      <c r="W11" s="554">
        <v>1971</v>
      </c>
      <c r="X11" s="554">
        <v>1972</v>
      </c>
      <c r="Y11" s="554">
        <v>1973</v>
      </c>
      <c r="Z11" s="554">
        <v>1974</v>
      </c>
      <c r="AA11" s="554">
        <v>1975</v>
      </c>
      <c r="AB11" s="554">
        <v>1976</v>
      </c>
      <c r="AC11" s="554">
        <v>1977</v>
      </c>
      <c r="AD11" s="554">
        <v>1978</v>
      </c>
      <c r="AE11" s="554">
        <v>1979</v>
      </c>
      <c r="AF11" s="554">
        <v>1980</v>
      </c>
      <c r="AG11" s="553">
        <v>1981</v>
      </c>
      <c r="AH11" s="554">
        <v>1982</v>
      </c>
      <c r="AI11" s="554">
        <v>1983</v>
      </c>
      <c r="AJ11" s="554">
        <v>1984</v>
      </c>
      <c r="AK11" s="554">
        <v>1985</v>
      </c>
      <c r="AL11" s="554">
        <v>1986</v>
      </c>
      <c r="AM11" s="554">
        <v>1987</v>
      </c>
      <c r="AN11" s="554">
        <v>1988</v>
      </c>
      <c r="AO11" s="554">
        <v>1989</v>
      </c>
      <c r="AP11" s="554">
        <v>1990</v>
      </c>
      <c r="AQ11" s="555">
        <v>1991</v>
      </c>
      <c r="AR11" s="555">
        <v>1992</v>
      </c>
      <c r="AS11" s="555">
        <v>1993</v>
      </c>
      <c r="AT11" s="553">
        <v>1994</v>
      </c>
      <c r="AU11" s="554">
        <v>1995</v>
      </c>
      <c r="AV11" s="554">
        <v>1996</v>
      </c>
      <c r="AW11" s="554">
        <v>1997</v>
      </c>
      <c r="AX11" s="554">
        <v>1998</v>
      </c>
      <c r="AY11" s="554">
        <v>1999</v>
      </c>
      <c r="AZ11" s="554">
        <v>2000</v>
      </c>
      <c r="BA11" s="554">
        <v>2001</v>
      </c>
      <c r="BB11" s="554">
        <v>2002</v>
      </c>
      <c r="BC11" s="554">
        <v>2003</v>
      </c>
      <c r="BD11" s="554">
        <v>2004</v>
      </c>
      <c r="BE11" s="554">
        <v>2005</v>
      </c>
      <c r="BF11" s="554">
        <v>2006</v>
      </c>
      <c r="BG11" s="554">
        <v>2007</v>
      </c>
      <c r="BH11" s="556">
        <v>2008</v>
      </c>
      <c r="BI11" s="540">
        <v>2009</v>
      </c>
      <c r="BJ11" s="555">
        <v>2010</v>
      </c>
      <c r="BK11" s="555">
        <v>2011</v>
      </c>
      <c r="BL11" s="555">
        <v>2012</v>
      </c>
      <c r="BM11" s="555">
        <v>2013</v>
      </c>
      <c r="BN11" s="555">
        <v>2014</v>
      </c>
      <c r="BO11" s="555">
        <v>2015</v>
      </c>
      <c r="BP11" s="555">
        <v>2016</v>
      </c>
      <c r="BQ11" s="555">
        <v>2017</v>
      </c>
      <c r="BR11" s="555">
        <v>2018</v>
      </c>
      <c r="BS11" s="555">
        <v>2019</v>
      </c>
      <c r="BT11" s="555">
        <v>2020</v>
      </c>
      <c r="BU11" s="557">
        <v>2021</v>
      </c>
      <c r="BV11" s="567">
        <v>2022</v>
      </c>
      <c r="BW11" s="567">
        <v>2023</v>
      </c>
      <c r="BX11" s="534"/>
    </row>
    <row r="12" spans="1:79" ht="15.75" customHeight="1">
      <c r="A12" s="558"/>
      <c r="B12" s="559"/>
      <c r="C12" s="568">
        <v>1.41</v>
      </c>
      <c r="D12" s="568">
        <v>1.41</v>
      </c>
      <c r="E12" s="568">
        <v>1.41</v>
      </c>
      <c r="F12" s="568">
        <v>1.41</v>
      </c>
      <c r="G12" s="568">
        <v>1.41</v>
      </c>
      <c r="H12" s="568">
        <v>1.41</v>
      </c>
      <c r="I12" s="568">
        <v>1.41</v>
      </c>
      <c r="J12" s="568">
        <v>1.41</v>
      </c>
      <c r="K12" s="568">
        <v>1.41</v>
      </c>
      <c r="L12" s="568">
        <v>1.41</v>
      </c>
      <c r="M12" s="568">
        <v>1.41</v>
      </c>
      <c r="N12" s="568">
        <v>1.41</v>
      </c>
      <c r="O12" s="568">
        <v>1.41</v>
      </c>
      <c r="P12" s="568">
        <v>1.41</v>
      </c>
      <c r="Q12" s="568">
        <v>1.41</v>
      </c>
      <c r="R12" s="568">
        <v>1.41</v>
      </c>
      <c r="S12" s="568">
        <v>1.41</v>
      </c>
      <c r="T12" s="568">
        <v>1.41</v>
      </c>
      <c r="U12" s="568">
        <v>1.41</v>
      </c>
      <c r="V12" s="568">
        <v>1.41</v>
      </c>
      <c r="W12" s="568">
        <v>1.41</v>
      </c>
      <c r="X12" s="568">
        <v>1.41</v>
      </c>
      <c r="Y12" s="568">
        <v>1.41</v>
      </c>
      <c r="Z12" s="568">
        <v>1.41</v>
      </c>
      <c r="AA12" s="568">
        <v>1.41</v>
      </c>
      <c r="AB12" s="568">
        <v>1.41</v>
      </c>
      <c r="AC12" s="568">
        <v>1.41</v>
      </c>
      <c r="AD12" s="568">
        <v>1.41</v>
      </c>
      <c r="AE12" s="568">
        <v>1.41</v>
      </c>
      <c r="AF12" s="568">
        <v>1.41</v>
      </c>
      <c r="AG12" s="568">
        <v>1.41</v>
      </c>
      <c r="AH12" s="568">
        <v>1.41</v>
      </c>
      <c r="AI12" s="568">
        <v>1.41</v>
      </c>
      <c r="AJ12" s="568">
        <v>1.41</v>
      </c>
      <c r="AK12" s="568">
        <v>1.41</v>
      </c>
      <c r="AL12" s="568">
        <v>1.41</v>
      </c>
      <c r="AM12" s="568">
        <v>1.41</v>
      </c>
      <c r="AN12" s="568">
        <v>1.41</v>
      </c>
      <c r="AO12" s="568">
        <v>1.41</v>
      </c>
      <c r="AP12" s="568">
        <v>1.41</v>
      </c>
      <c r="AQ12" s="568">
        <v>1.41</v>
      </c>
      <c r="AR12" s="568">
        <v>1.41</v>
      </c>
      <c r="AS12" s="568">
        <v>1.41</v>
      </c>
      <c r="AT12" s="568">
        <v>1.41</v>
      </c>
      <c r="AU12" s="568">
        <v>1.41</v>
      </c>
      <c r="AV12" s="569">
        <f t="shared" ref="AV12:AZ12" si="15">((($BA$9/$AV$9)^(1/5))-1)</f>
        <v>1.8302983077835844E-3</v>
      </c>
      <c r="AW12" s="569">
        <f t="shared" si="15"/>
        <v>1.8302983077835844E-3</v>
      </c>
      <c r="AX12" s="569">
        <f t="shared" si="15"/>
        <v>1.8302983077835844E-3</v>
      </c>
      <c r="AY12" s="569">
        <f t="shared" si="15"/>
        <v>1.8302983077835844E-3</v>
      </c>
      <c r="AZ12" s="569">
        <f t="shared" si="15"/>
        <v>1.8302983077835844E-3</v>
      </c>
      <c r="BA12" s="569">
        <f t="shared" ref="BA12:BE12" si="16">((($BF$9/$BA$9)^(1/5))-1)</f>
        <v>1.3495005354894785E-2</v>
      </c>
      <c r="BB12" s="569">
        <f t="shared" si="16"/>
        <v>1.3495005354894785E-2</v>
      </c>
      <c r="BC12" s="569">
        <f t="shared" si="16"/>
        <v>1.3495005354894785E-2</v>
      </c>
      <c r="BD12" s="569">
        <f t="shared" si="16"/>
        <v>1.3495005354894785E-2</v>
      </c>
      <c r="BE12" s="569">
        <f t="shared" si="16"/>
        <v>1.3495005354894785E-2</v>
      </c>
      <c r="BF12" s="569">
        <f t="shared" ref="BF12:BW12" si="17">((($BT$9/$BF$9)^(1/14))-1)</f>
        <v>5.0772491208426196E-2</v>
      </c>
      <c r="BG12" s="569">
        <f t="shared" si="17"/>
        <v>5.0772491208426196E-2</v>
      </c>
      <c r="BH12" s="569">
        <f t="shared" si="17"/>
        <v>5.0772491208426196E-2</v>
      </c>
      <c r="BI12" s="569">
        <f t="shared" si="17"/>
        <v>5.0772491208426196E-2</v>
      </c>
      <c r="BJ12" s="569">
        <f t="shared" si="17"/>
        <v>5.0772491208426196E-2</v>
      </c>
      <c r="BK12" s="569">
        <f t="shared" si="17"/>
        <v>5.0772491208426196E-2</v>
      </c>
      <c r="BL12" s="569">
        <f t="shared" si="17"/>
        <v>5.0772491208426196E-2</v>
      </c>
      <c r="BM12" s="569">
        <f t="shared" si="17"/>
        <v>5.0772491208426196E-2</v>
      </c>
      <c r="BN12" s="569">
        <f t="shared" si="17"/>
        <v>5.0772491208426196E-2</v>
      </c>
      <c r="BO12" s="569">
        <f t="shared" si="17"/>
        <v>5.0772491208426196E-2</v>
      </c>
      <c r="BP12" s="569">
        <f t="shared" si="17"/>
        <v>5.0772491208426196E-2</v>
      </c>
      <c r="BQ12" s="569">
        <f t="shared" si="17"/>
        <v>5.0772491208426196E-2</v>
      </c>
      <c r="BR12" s="569">
        <f t="shared" si="17"/>
        <v>5.0772491208426196E-2</v>
      </c>
      <c r="BS12" s="569">
        <f t="shared" si="17"/>
        <v>5.0772491208426196E-2</v>
      </c>
      <c r="BT12" s="569">
        <f t="shared" si="17"/>
        <v>5.0772491208426196E-2</v>
      </c>
      <c r="BU12" s="569">
        <f t="shared" si="17"/>
        <v>5.0772491208426196E-2</v>
      </c>
      <c r="BV12" s="569">
        <f t="shared" si="17"/>
        <v>5.0772491208426196E-2</v>
      </c>
      <c r="BW12" s="569">
        <f t="shared" si="17"/>
        <v>5.0772491208426196E-2</v>
      </c>
      <c r="BX12" s="534"/>
    </row>
    <row r="13" spans="1:79" ht="15.75" customHeight="1">
      <c r="A13" s="549"/>
      <c r="B13" s="549"/>
      <c r="C13" s="549"/>
      <c r="D13" s="549"/>
      <c r="E13" s="549"/>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549"/>
      <c r="AH13" s="549"/>
      <c r="AI13" s="549"/>
      <c r="AJ13" s="549"/>
      <c r="AK13" s="549"/>
      <c r="AL13" s="549"/>
      <c r="AM13" s="549"/>
      <c r="AN13" s="549"/>
      <c r="AO13" s="549"/>
      <c r="AP13" s="549"/>
      <c r="AQ13" s="549"/>
      <c r="AR13" s="549"/>
      <c r="AS13" s="549"/>
      <c r="AT13" s="549"/>
      <c r="AU13" s="549"/>
      <c r="AV13" s="549"/>
      <c r="AW13" s="549"/>
      <c r="AX13" s="549"/>
      <c r="AY13" s="549"/>
      <c r="AZ13" s="549"/>
      <c r="BA13" s="549"/>
      <c r="BB13" s="549"/>
      <c r="BC13" s="549"/>
      <c r="BD13" s="549"/>
      <c r="BE13" s="549"/>
      <c r="BF13" s="549"/>
      <c r="BG13" s="549"/>
      <c r="BH13" s="549"/>
      <c r="BI13" s="549"/>
      <c r="BJ13" s="549"/>
      <c r="BK13" s="549"/>
      <c r="BL13" s="549"/>
      <c r="BM13" s="549"/>
      <c r="BN13" s="549"/>
      <c r="BO13" s="549"/>
      <c r="BP13" s="549"/>
      <c r="BQ13" s="549"/>
      <c r="BR13" s="549"/>
      <c r="BS13" s="549"/>
      <c r="BT13" s="549"/>
      <c r="BU13" s="549"/>
      <c r="BV13" s="534"/>
      <c r="BW13" s="534"/>
      <c r="BX13" s="534"/>
    </row>
    <row r="14" spans="1:79" ht="27" customHeight="1">
      <c r="A14" s="551" t="s">
        <v>538</v>
      </c>
      <c r="B14" s="552" t="s">
        <v>539</v>
      </c>
      <c r="C14" s="553">
        <v>1951</v>
      </c>
      <c r="D14" s="554">
        <v>1952</v>
      </c>
      <c r="E14" s="554">
        <v>1953</v>
      </c>
      <c r="F14" s="554">
        <v>1954</v>
      </c>
      <c r="G14" s="554">
        <v>1955</v>
      </c>
      <c r="H14" s="554">
        <v>1956</v>
      </c>
      <c r="I14" s="554">
        <v>1957</v>
      </c>
      <c r="J14" s="554">
        <v>1958</v>
      </c>
      <c r="K14" s="554">
        <v>1959</v>
      </c>
      <c r="L14" s="554">
        <v>1960</v>
      </c>
      <c r="M14" s="554">
        <v>1961</v>
      </c>
      <c r="N14" s="554">
        <v>1962</v>
      </c>
      <c r="O14" s="554">
        <v>1963</v>
      </c>
      <c r="P14" s="554">
        <v>1964</v>
      </c>
      <c r="Q14" s="554">
        <v>1965</v>
      </c>
      <c r="R14" s="554">
        <v>1966</v>
      </c>
      <c r="S14" s="554">
        <v>1967</v>
      </c>
      <c r="T14" s="554">
        <v>1968</v>
      </c>
      <c r="U14" s="554">
        <v>1969</v>
      </c>
      <c r="V14" s="554">
        <v>1970</v>
      </c>
      <c r="W14" s="554">
        <v>1971</v>
      </c>
      <c r="X14" s="554">
        <v>1972</v>
      </c>
      <c r="Y14" s="554">
        <v>1973</v>
      </c>
      <c r="Z14" s="554">
        <v>1974</v>
      </c>
      <c r="AA14" s="554">
        <v>1975</v>
      </c>
      <c r="AB14" s="554">
        <v>1976</v>
      </c>
      <c r="AC14" s="554">
        <v>1977</v>
      </c>
      <c r="AD14" s="554">
        <v>1978</v>
      </c>
      <c r="AE14" s="554">
        <v>1979</v>
      </c>
      <c r="AF14" s="554">
        <v>1980</v>
      </c>
      <c r="AG14" s="553">
        <v>1981</v>
      </c>
      <c r="AH14" s="554">
        <v>1982</v>
      </c>
      <c r="AI14" s="554">
        <v>1983</v>
      </c>
      <c r="AJ14" s="554">
        <v>1984</v>
      </c>
      <c r="AK14" s="554">
        <v>1985</v>
      </c>
      <c r="AL14" s="554">
        <v>1986</v>
      </c>
      <c r="AM14" s="554">
        <v>1987</v>
      </c>
      <c r="AN14" s="554">
        <v>1988</v>
      </c>
      <c r="AO14" s="554">
        <v>1989</v>
      </c>
      <c r="AP14" s="554">
        <v>1990</v>
      </c>
      <c r="AQ14" s="555">
        <v>1991</v>
      </c>
      <c r="AR14" s="555">
        <v>1992</v>
      </c>
      <c r="AS14" s="555">
        <v>1993</v>
      </c>
      <c r="AT14" s="553">
        <v>1994</v>
      </c>
      <c r="AU14" s="554">
        <v>1995</v>
      </c>
      <c r="AV14" s="554">
        <v>1996</v>
      </c>
      <c r="AW14" s="554">
        <v>1997</v>
      </c>
      <c r="AX14" s="554">
        <v>1998</v>
      </c>
      <c r="AY14" s="554">
        <v>1999</v>
      </c>
      <c r="AZ14" s="554">
        <v>2000</v>
      </c>
      <c r="BA14" s="554">
        <v>2001</v>
      </c>
      <c r="BB14" s="554">
        <v>2002</v>
      </c>
      <c r="BC14" s="554">
        <v>2003</v>
      </c>
      <c r="BD14" s="554">
        <v>2004</v>
      </c>
      <c r="BE14" s="554">
        <v>2005</v>
      </c>
      <c r="BF14" s="554">
        <v>2006</v>
      </c>
      <c r="BG14" s="554">
        <v>2007</v>
      </c>
      <c r="BH14" s="556">
        <v>2008</v>
      </c>
      <c r="BI14" s="540">
        <v>2009</v>
      </c>
      <c r="BJ14" s="555">
        <v>2010</v>
      </c>
      <c r="BK14" s="555">
        <v>2011</v>
      </c>
      <c r="BL14" s="555">
        <v>2012</v>
      </c>
      <c r="BM14" s="555">
        <v>2013</v>
      </c>
      <c r="BN14" s="555">
        <v>2014</v>
      </c>
      <c r="BO14" s="555">
        <v>2015</v>
      </c>
      <c r="BP14" s="555">
        <v>2016</v>
      </c>
      <c r="BQ14" s="555">
        <v>2017</v>
      </c>
      <c r="BR14" s="555">
        <v>2018</v>
      </c>
      <c r="BS14" s="555">
        <v>2019</v>
      </c>
      <c r="BT14" s="555">
        <v>2020</v>
      </c>
      <c r="BU14" s="557">
        <v>2021</v>
      </c>
      <c r="BV14" s="557">
        <v>2022</v>
      </c>
      <c r="BW14" s="557">
        <v>2023</v>
      </c>
      <c r="BX14" s="534"/>
    </row>
    <row r="15" spans="1:79" ht="15.75" customHeight="1">
      <c r="A15" s="558"/>
      <c r="B15" s="559"/>
      <c r="C15" s="565">
        <f t="shared" ref="C15:BW15" si="18">C9*C3*365/10^9</f>
        <v>51.151733333399797</v>
      </c>
      <c r="D15" s="565">
        <f t="shared" si="18"/>
        <v>55.244141283785773</v>
      </c>
      <c r="E15" s="565">
        <f t="shared" si="18"/>
        <v>59.493975409448765</v>
      </c>
      <c r="F15" s="565">
        <f t="shared" si="18"/>
        <v>63.901235710388747</v>
      </c>
      <c r="G15" s="565">
        <f t="shared" si="18"/>
        <v>68.465922186605738</v>
      </c>
      <c r="H15" s="565">
        <f t="shared" si="18"/>
        <v>73.188034838099725</v>
      </c>
      <c r="I15" s="565">
        <f t="shared" si="18"/>
        <v>78.067573664870707</v>
      </c>
      <c r="J15" s="565">
        <f t="shared" si="18"/>
        <v>83.104538666918685</v>
      </c>
      <c r="K15" s="565">
        <f t="shared" si="18"/>
        <v>88.298929844243688</v>
      </c>
      <c r="L15" s="565">
        <f t="shared" si="18"/>
        <v>93.650747196845671</v>
      </c>
      <c r="M15" s="565">
        <f t="shared" si="18"/>
        <v>99.159990724724679</v>
      </c>
      <c r="N15" s="565">
        <f t="shared" si="18"/>
        <v>105.56088985348165</v>
      </c>
      <c r="O15" s="565">
        <f t="shared" si="18"/>
        <v>112.15898709336265</v>
      </c>
      <c r="P15" s="565">
        <f t="shared" si="18"/>
        <v>118.95428244436764</v>
      </c>
      <c r="Q15" s="565">
        <f t="shared" si="18"/>
        <v>125.9467759064966</v>
      </c>
      <c r="R15" s="565">
        <f t="shared" si="18"/>
        <v>133.13646747974957</v>
      </c>
      <c r="S15" s="565">
        <f t="shared" si="18"/>
        <v>140.52335716412657</v>
      </c>
      <c r="T15" s="565">
        <f t="shared" si="18"/>
        <v>148.10744495962757</v>
      </c>
      <c r="U15" s="565">
        <f t="shared" si="18"/>
        <v>155.88873086625253</v>
      </c>
      <c r="V15" s="565">
        <f t="shared" si="18"/>
        <v>163.86721488400153</v>
      </c>
      <c r="W15" s="565">
        <f t="shared" si="18"/>
        <v>172.04289701287459</v>
      </c>
      <c r="X15" s="565">
        <f t="shared" si="18"/>
        <v>182.40630040382362</v>
      </c>
      <c r="Y15" s="565">
        <f t="shared" si="18"/>
        <v>193.05174584915059</v>
      </c>
      <c r="Z15" s="565">
        <f t="shared" si="18"/>
        <v>203.97923334885559</v>
      </c>
      <c r="AA15" s="565">
        <f t="shared" si="18"/>
        <v>215.18876290293863</v>
      </c>
      <c r="AB15" s="565">
        <f t="shared" si="18"/>
        <v>226.68033451139965</v>
      </c>
      <c r="AC15" s="565">
        <f t="shared" si="18"/>
        <v>238.45394817423866</v>
      </c>
      <c r="AD15" s="565">
        <f t="shared" si="18"/>
        <v>250.50960389145567</v>
      </c>
      <c r="AE15" s="565">
        <f t="shared" si="18"/>
        <v>262.84730166305064</v>
      </c>
      <c r="AF15" s="565">
        <f t="shared" si="18"/>
        <v>275.46704148902364</v>
      </c>
      <c r="AG15" s="565">
        <f t="shared" si="18"/>
        <v>288.36882336937464</v>
      </c>
      <c r="AH15" s="565">
        <f t="shared" si="18"/>
        <v>311.42152874240071</v>
      </c>
      <c r="AI15" s="565">
        <f t="shared" si="18"/>
        <v>335.10302729933369</v>
      </c>
      <c r="AJ15" s="565">
        <f t="shared" si="18"/>
        <v>359.41331904017375</v>
      </c>
      <c r="AK15" s="565">
        <f t="shared" si="18"/>
        <v>384.35240396492077</v>
      </c>
      <c r="AL15" s="565">
        <f t="shared" si="18"/>
        <v>409.92028207357475</v>
      </c>
      <c r="AM15" s="565">
        <f t="shared" si="18"/>
        <v>436.11695336613593</v>
      </c>
      <c r="AN15" s="565">
        <f t="shared" si="18"/>
        <v>462.94241784260396</v>
      </c>
      <c r="AO15" s="565">
        <f t="shared" si="18"/>
        <v>490.39667550297901</v>
      </c>
      <c r="AP15" s="565">
        <f t="shared" si="18"/>
        <v>518.47972634726102</v>
      </c>
      <c r="AQ15" s="565">
        <f t="shared" si="18"/>
        <v>547.19157037544971</v>
      </c>
      <c r="AR15" s="565">
        <f t="shared" si="18"/>
        <v>559.73508583427383</v>
      </c>
      <c r="AS15" s="565">
        <f t="shared" si="18"/>
        <v>572.40540334364084</v>
      </c>
      <c r="AT15" s="565">
        <f t="shared" si="18"/>
        <v>585.20252290355074</v>
      </c>
      <c r="AU15" s="565">
        <f t="shared" si="18"/>
        <v>598.12644451400377</v>
      </c>
      <c r="AV15" s="565">
        <f t="shared" si="18"/>
        <v>611.17716817499991</v>
      </c>
      <c r="AW15" s="565">
        <f t="shared" si="18"/>
        <v>616.8005613117208</v>
      </c>
      <c r="AX15" s="565">
        <f t="shared" si="18"/>
        <v>622.4424919837661</v>
      </c>
      <c r="AY15" s="565">
        <f t="shared" si="18"/>
        <v>628.10300921125304</v>
      </c>
      <c r="AZ15" s="565">
        <f t="shared" si="18"/>
        <v>633.78216213164183</v>
      </c>
      <c r="BA15" s="565">
        <f t="shared" si="18"/>
        <v>639.48</v>
      </c>
      <c r="BB15" s="565">
        <f t="shared" si="18"/>
        <v>652.97633736810178</v>
      </c>
      <c r="BC15" s="565">
        <f t="shared" si="18"/>
        <v>666.6350669167557</v>
      </c>
      <c r="BD15" s="565">
        <f t="shared" si="18"/>
        <v>680.46300066007325</v>
      </c>
      <c r="BE15" s="565">
        <f t="shared" si="18"/>
        <v>694.37951633741864</v>
      </c>
      <c r="BF15" s="565">
        <f t="shared" si="18"/>
        <v>708.46500000000003</v>
      </c>
      <c r="BG15" s="565">
        <f t="shared" si="18"/>
        <v>749.30282893810534</v>
      </c>
      <c r="BH15" s="565">
        <f t="shared" si="18"/>
        <v>792.27856304601119</v>
      </c>
      <c r="BI15" s="565">
        <f t="shared" si="18"/>
        <v>837.49474824248477</v>
      </c>
      <c r="BJ15" s="565">
        <f t="shared" si="18"/>
        <v>885.15919978457134</v>
      </c>
      <c r="BK15" s="565">
        <f t="shared" si="18"/>
        <v>1688.4358180877068</v>
      </c>
      <c r="BL15" s="565">
        <f t="shared" si="18"/>
        <v>1875.9330313404041</v>
      </c>
      <c r="BM15" s="565">
        <f t="shared" si="18"/>
        <v>2079.395360549177</v>
      </c>
      <c r="BN15" s="565">
        <f t="shared" si="18"/>
        <v>2299.9117098595702</v>
      </c>
      <c r="BO15" s="565">
        <f t="shared" si="18"/>
        <v>2538.6225776640772</v>
      </c>
      <c r="BP15" s="565">
        <f t="shared" si="18"/>
        <v>2796.3231717825843</v>
      </c>
      <c r="BQ15" s="565">
        <f t="shared" si="18"/>
        <v>3069.7969951501773</v>
      </c>
      <c r="BR15" s="565">
        <f t="shared" si="18"/>
        <v>3363.9820863080231</v>
      </c>
      <c r="BS15" s="565">
        <f t="shared" si="18"/>
        <v>3679.9692616282723</v>
      </c>
      <c r="BT15" s="565">
        <f t="shared" si="18"/>
        <v>4018.7096517253294</v>
      </c>
      <c r="BU15" s="565">
        <f t="shared" si="18"/>
        <v>4381.491691650127</v>
      </c>
      <c r="BV15" s="565">
        <f t="shared" si="18"/>
        <v>4764.5411335481485</v>
      </c>
      <c r="BW15" s="565">
        <f t="shared" si="18"/>
        <v>5173.0808174287631</v>
      </c>
      <c r="BX15" s="570"/>
      <c r="BY15" s="570"/>
      <c r="BZ15" s="570"/>
      <c r="CA15" s="570"/>
    </row>
    <row r="16" spans="1:79" ht="15.75" customHeight="1">
      <c r="A16" s="549"/>
      <c r="B16" s="549"/>
      <c r="C16" s="549"/>
      <c r="D16" s="549"/>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c r="AK16" s="549"/>
      <c r="AL16" s="549"/>
      <c r="AM16" s="549"/>
      <c r="AN16" s="549"/>
      <c r="AO16" s="549"/>
      <c r="AP16" s="549"/>
      <c r="AQ16" s="549"/>
      <c r="AR16" s="549"/>
      <c r="AS16" s="549"/>
      <c r="AT16" s="549"/>
      <c r="AU16" s="549"/>
      <c r="AV16" s="549"/>
      <c r="AW16" s="549"/>
      <c r="AX16" s="549"/>
      <c r="AY16" s="549"/>
      <c r="AZ16" s="549"/>
      <c r="BA16" s="549"/>
      <c r="BB16" s="549"/>
      <c r="BC16" s="549"/>
      <c r="BD16" s="549"/>
      <c r="BE16" s="549"/>
      <c r="BF16" s="549"/>
      <c r="BG16" s="549"/>
      <c r="BH16" s="549"/>
      <c r="BI16" s="549"/>
      <c r="BJ16" s="549"/>
      <c r="BK16" s="549"/>
      <c r="BL16" s="549"/>
      <c r="BM16" s="549"/>
      <c r="BN16" s="549"/>
      <c r="BO16" s="549"/>
      <c r="BP16" s="549"/>
      <c r="BQ16" s="549"/>
      <c r="BR16" s="549"/>
      <c r="BS16" s="549"/>
      <c r="BT16" s="549"/>
      <c r="BU16" s="549"/>
      <c r="BV16" s="549"/>
      <c r="BW16" s="549"/>
      <c r="BX16" s="534"/>
      <c r="BY16" s="534"/>
      <c r="BZ16" s="534"/>
      <c r="CA16" s="534"/>
    </row>
    <row r="17" spans="1:79" ht="15.75" customHeight="1">
      <c r="A17" s="536" t="s">
        <v>540</v>
      </c>
      <c r="B17" s="537" t="s">
        <v>0</v>
      </c>
      <c r="C17" s="538">
        <v>1951</v>
      </c>
      <c r="D17" s="538">
        <v>1952</v>
      </c>
      <c r="E17" s="538">
        <v>1953</v>
      </c>
      <c r="F17" s="538">
        <v>1954</v>
      </c>
      <c r="G17" s="538">
        <v>1955</v>
      </c>
      <c r="H17" s="538">
        <v>1956</v>
      </c>
      <c r="I17" s="538">
        <v>1957</v>
      </c>
      <c r="J17" s="538">
        <v>1958</v>
      </c>
      <c r="K17" s="538">
        <v>1959</v>
      </c>
      <c r="L17" s="538">
        <v>1960</v>
      </c>
      <c r="M17" s="538">
        <v>1961</v>
      </c>
      <c r="N17" s="538">
        <v>1962</v>
      </c>
      <c r="O17" s="538">
        <v>1963</v>
      </c>
      <c r="P17" s="538">
        <v>1964</v>
      </c>
      <c r="Q17" s="538">
        <v>1965</v>
      </c>
      <c r="R17" s="538">
        <v>1966</v>
      </c>
      <c r="S17" s="538">
        <v>1967</v>
      </c>
      <c r="T17" s="538">
        <v>1968</v>
      </c>
      <c r="U17" s="538">
        <v>1969</v>
      </c>
      <c r="V17" s="538">
        <v>1970</v>
      </c>
      <c r="W17" s="538">
        <v>1971</v>
      </c>
      <c r="X17" s="538">
        <v>1972</v>
      </c>
      <c r="Y17" s="538">
        <v>1973</v>
      </c>
      <c r="Z17" s="538">
        <v>1974</v>
      </c>
      <c r="AA17" s="538">
        <v>1975</v>
      </c>
      <c r="AB17" s="538">
        <v>1976</v>
      </c>
      <c r="AC17" s="538">
        <v>1977</v>
      </c>
      <c r="AD17" s="538">
        <v>1978</v>
      </c>
      <c r="AE17" s="538">
        <v>1979</v>
      </c>
      <c r="AF17" s="538">
        <v>1980</v>
      </c>
      <c r="AG17" s="538">
        <v>1981</v>
      </c>
      <c r="AH17" s="538">
        <v>1982</v>
      </c>
      <c r="AI17" s="538">
        <v>1983</v>
      </c>
      <c r="AJ17" s="538">
        <v>1984</v>
      </c>
      <c r="AK17" s="538">
        <v>1985</v>
      </c>
      <c r="AL17" s="538">
        <v>1986</v>
      </c>
      <c r="AM17" s="538">
        <v>1987</v>
      </c>
      <c r="AN17" s="538">
        <v>1988</v>
      </c>
      <c r="AO17" s="538">
        <v>1989</v>
      </c>
      <c r="AP17" s="538">
        <v>1990</v>
      </c>
      <c r="AQ17" s="539">
        <v>1991</v>
      </c>
      <c r="AR17" s="539">
        <v>1992</v>
      </c>
      <c r="AS17" s="539">
        <v>1993</v>
      </c>
      <c r="AT17" s="538">
        <v>1994</v>
      </c>
      <c r="AU17" s="538">
        <v>1995</v>
      </c>
      <c r="AV17" s="538">
        <v>1996</v>
      </c>
      <c r="AW17" s="538">
        <v>1997</v>
      </c>
      <c r="AX17" s="538">
        <v>1998</v>
      </c>
      <c r="AY17" s="538">
        <v>1999</v>
      </c>
      <c r="AZ17" s="538">
        <v>2000</v>
      </c>
      <c r="BA17" s="538">
        <v>2001</v>
      </c>
      <c r="BB17" s="538">
        <v>2002</v>
      </c>
      <c r="BC17" s="538">
        <v>2003</v>
      </c>
      <c r="BD17" s="538">
        <v>2004</v>
      </c>
      <c r="BE17" s="538">
        <v>2005</v>
      </c>
      <c r="BF17" s="538">
        <v>2006</v>
      </c>
      <c r="BG17" s="538">
        <v>2007</v>
      </c>
      <c r="BH17" s="538">
        <v>2008</v>
      </c>
      <c r="BI17" s="539">
        <v>2009</v>
      </c>
      <c r="BJ17" s="539">
        <v>2010</v>
      </c>
      <c r="BK17" s="539">
        <v>2011</v>
      </c>
      <c r="BL17" s="539">
        <v>2012</v>
      </c>
      <c r="BM17" s="539">
        <v>2013</v>
      </c>
      <c r="BN17" s="539">
        <v>2014</v>
      </c>
      <c r="BO17" s="539">
        <v>2015</v>
      </c>
      <c r="BP17" s="539">
        <v>2016</v>
      </c>
      <c r="BQ17" s="539">
        <v>2017</v>
      </c>
      <c r="BR17" s="539">
        <v>2018</v>
      </c>
      <c r="BS17" s="539">
        <v>2019</v>
      </c>
      <c r="BT17" s="539">
        <v>2020</v>
      </c>
      <c r="BU17" s="539">
        <v>2021</v>
      </c>
      <c r="BV17" s="539">
        <v>2022</v>
      </c>
      <c r="BW17" s="539">
        <v>2023</v>
      </c>
      <c r="BX17" s="534"/>
      <c r="BY17" s="534"/>
      <c r="BZ17" s="534"/>
      <c r="CA17" s="534"/>
    </row>
    <row r="18" spans="1:79" ht="15.75" customHeight="1">
      <c r="A18" s="571"/>
      <c r="B18" s="572"/>
      <c r="C18" s="573">
        <v>70</v>
      </c>
      <c r="D18" s="573">
        <v>70</v>
      </c>
      <c r="E18" s="573">
        <v>70</v>
      </c>
      <c r="F18" s="573">
        <v>70</v>
      </c>
      <c r="G18" s="573">
        <v>70</v>
      </c>
      <c r="H18" s="573">
        <v>70</v>
      </c>
      <c r="I18" s="573">
        <v>70</v>
      </c>
      <c r="J18" s="573">
        <v>70</v>
      </c>
      <c r="K18" s="573">
        <v>70</v>
      </c>
      <c r="L18" s="573">
        <v>70</v>
      </c>
      <c r="M18" s="573">
        <v>70</v>
      </c>
      <c r="N18" s="573">
        <v>70</v>
      </c>
      <c r="O18" s="573">
        <v>70</v>
      </c>
      <c r="P18" s="573">
        <v>70</v>
      </c>
      <c r="Q18" s="573">
        <v>70</v>
      </c>
      <c r="R18" s="573">
        <v>70</v>
      </c>
      <c r="S18" s="573">
        <v>70</v>
      </c>
      <c r="T18" s="573">
        <v>70</v>
      </c>
      <c r="U18" s="573">
        <v>70</v>
      </c>
      <c r="V18" s="573">
        <v>70</v>
      </c>
      <c r="W18" s="573">
        <v>70</v>
      </c>
      <c r="X18" s="573">
        <v>70</v>
      </c>
      <c r="Y18" s="573">
        <v>70</v>
      </c>
      <c r="Z18" s="573">
        <v>70</v>
      </c>
      <c r="AA18" s="573">
        <v>70</v>
      </c>
      <c r="AB18" s="573">
        <v>70</v>
      </c>
      <c r="AC18" s="573">
        <v>70</v>
      </c>
      <c r="AD18" s="573">
        <v>70</v>
      </c>
      <c r="AE18" s="573">
        <v>70</v>
      </c>
      <c r="AF18" s="573">
        <v>70</v>
      </c>
      <c r="AG18" s="573">
        <v>70</v>
      </c>
      <c r="AH18" s="573">
        <v>70</v>
      </c>
      <c r="AI18" s="573">
        <v>70</v>
      </c>
      <c r="AJ18" s="573">
        <v>70</v>
      </c>
      <c r="AK18" s="573">
        <v>70</v>
      </c>
      <c r="AL18" s="573">
        <v>70</v>
      </c>
      <c r="AM18" s="573">
        <v>70</v>
      </c>
      <c r="AN18" s="573">
        <v>70</v>
      </c>
      <c r="AO18" s="573">
        <v>70</v>
      </c>
      <c r="AP18" s="573">
        <v>70</v>
      </c>
      <c r="AQ18" s="573">
        <v>70</v>
      </c>
      <c r="AR18" s="573">
        <v>70</v>
      </c>
      <c r="AS18" s="573">
        <v>70</v>
      </c>
      <c r="AT18" s="573">
        <v>70</v>
      </c>
      <c r="AU18" s="573">
        <v>70</v>
      </c>
      <c r="AV18" s="573">
        <v>70</v>
      </c>
      <c r="AW18" s="573">
        <v>70</v>
      </c>
      <c r="AX18" s="573">
        <v>70</v>
      </c>
      <c r="AY18" s="573">
        <v>70</v>
      </c>
      <c r="AZ18" s="573">
        <v>70</v>
      </c>
      <c r="BA18" s="573">
        <v>70</v>
      </c>
      <c r="BB18" s="573">
        <v>70</v>
      </c>
      <c r="BC18" s="573">
        <v>70</v>
      </c>
      <c r="BD18" s="573">
        <v>70</v>
      </c>
      <c r="BE18" s="573">
        <v>12.6</v>
      </c>
      <c r="BF18" s="573">
        <v>12.6</v>
      </c>
      <c r="BG18" s="573">
        <v>12.6</v>
      </c>
      <c r="BH18" s="573">
        <v>12.6</v>
      </c>
      <c r="BI18" s="573">
        <v>12.6</v>
      </c>
      <c r="BJ18" s="573">
        <v>12.6</v>
      </c>
      <c r="BK18" s="573">
        <v>12.6</v>
      </c>
      <c r="BL18" s="573">
        <v>12.6</v>
      </c>
      <c r="BM18" s="573">
        <v>12.6</v>
      </c>
      <c r="BN18" s="573">
        <v>12.6</v>
      </c>
      <c r="BO18" s="573">
        <v>12.6</v>
      </c>
      <c r="BP18" s="573">
        <v>12.6</v>
      </c>
      <c r="BQ18" s="573">
        <v>0</v>
      </c>
      <c r="BR18" s="573">
        <v>0</v>
      </c>
      <c r="BS18" s="573">
        <v>0</v>
      </c>
      <c r="BT18" s="573">
        <v>0</v>
      </c>
      <c r="BU18" s="573">
        <v>0</v>
      </c>
      <c r="BV18" s="573">
        <v>0</v>
      </c>
      <c r="BW18" s="573">
        <v>0</v>
      </c>
      <c r="BX18" s="534"/>
      <c r="BY18" s="534"/>
      <c r="BZ18" s="534"/>
      <c r="CA18" s="534"/>
    </row>
    <row r="19" spans="1:79" ht="15.75" customHeight="1">
      <c r="A19" s="549"/>
      <c r="B19" s="549"/>
      <c r="C19" s="549"/>
      <c r="D19" s="549"/>
      <c r="E19" s="549"/>
      <c r="F19" s="549"/>
      <c r="G19" s="549"/>
      <c r="H19" s="549"/>
      <c r="I19" s="549"/>
      <c r="J19" s="549"/>
      <c r="K19" s="549"/>
      <c r="L19" s="549"/>
      <c r="M19" s="549"/>
      <c r="N19" s="549"/>
      <c r="O19" s="549"/>
      <c r="P19" s="549"/>
      <c r="Q19" s="549"/>
      <c r="R19" s="549"/>
      <c r="S19" s="549"/>
      <c r="T19" s="549"/>
      <c r="U19" s="549"/>
      <c r="V19" s="549"/>
      <c r="W19" s="549"/>
      <c r="X19" s="549"/>
      <c r="Y19" s="549"/>
      <c r="Z19" s="549"/>
      <c r="AA19" s="549"/>
      <c r="AB19" s="549"/>
      <c r="AC19" s="549"/>
      <c r="AD19" s="549"/>
      <c r="AE19" s="549"/>
      <c r="AF19" s="549"/>
      <c r="AG19" s="549"/>
      <c r="AH19" s="549"/>
      <c r="AI19" s="549"/>
      <c r="AJ19" s="549"/>
      <c r="AK19" s="549"/>
      <c r="AL19" s="549"/>
      <c r="AM19" s="549"/>
      <c r="AN19" s="549"/>
      <c r="AO19" s="549"/>
      <c r="AP19" s="549"/>
      <c r="AQ19" s="549"/>
      <c r="AR19" s="549"/>
      <c r="AS19" s="549"/>
      <c r="AT19" s="549"/>
      <c r="AU19" s="549"/>
      <c r="AV19" s="549"/>
      <c r="AW19" s="549"/>
      <c r="AX19" s="549"/>
      <c r="AY19" s="549"/>
      <c r="AZ19" s="549"/>
      <c r="BA19" s="549"/>
      <c r="BB19" s="549"/>
      <c r="BC19" s="549"/>
      <c r="BD19" s="549"/>
      <c r="BE19" s="549"/>
      <c r="BF19" s="549"/>
      <c r="BG19" s="549"/>
      <c r="BH19" s="549"/>
      <c r="BI19" s="549"/>
      <c r="BJ19" s="549"/>
      <c r="BK19" s="549"/>
      <c r="BL19" s="549"/>
      <c r="BM19" s="549"/>
      <c r="BN19" s="549"/>
      <c r="BO19" s="549"/>
      <c r="BP19" s="549"/>
      <c r="BQ19" s="549"/>
      <c r="BR19" s="549"/>
      <c r="BS19" s="549"/>
      <c r="BT19" s="549"/>
      <c r="BU19" s="549"/>
      <c r="BV19" s="549"/>
      <c r="BW19" s="549"/>
      <c r="BX19" s="534"/>
      <c r="BY19" s="534"/>
      <c r="BZ19" s="534"/>
      <c r="CA19" s="534"/>
    </row>
    <row r="20" spans="1:79" ht="15.75" customHeight="1">
      <c r="A20" s="536" t="s">
        <v>541</v>
      </c>
      <c r="B20" s="537" t="s">
        <v>539</v>
      </c>
      <c r="C20" s="538">
        <v>1951</v>
      </c>
      <c r="D20" s="538">
        <v>1952</v>
      </c>
      <c r="E20" s="538">
        <v>1953</v>
      </c>
      <c r="F20" s="538">
        <v>1954</v>
      </c>
      <c r="G20" s="538">
        <v>1955</v>
      </c>
      <c r="H20" s="538">
        <v>1956</v>
      </c>
      <c r="I20" s="538">
        <v>1957</v>
      </c>
      <c r="J20" s="538">
        <v>1958</v>
      </c>
      <c r="K20" s="538">
        <v>1959</v>
      </c>
      <c r="L20" s="538">
        <v>1960</v>
      </c>
      <c r="M20" s="538">
        <v>1961</v>
      </c>
      <c r="N20" s="538">
        <v>1962</v>
      </c>
      <c r="O20" s="538">
        <v>1963</v>
      </c>
      <c r="P20" s="538">
        <v>1964</v>
      </c>
      <c r="Q20" s="538">
        <v>1965</v>
      </c>
      <c r="R20" s="538">
        <v>1966</v>
      </c>
      <c r="S20" s="538">
        <v>1967</v>
      </c>
      <c r="T20" s="538">
        <v>1968</v>
      </c>
      <c r="U20" s="538">
        <v>1969</v>
      </c>
      <c r="V20" s="538">
        <v>1970</v>
      </c>
      <c r="W20" s="538">
        <v>1971</v>
      </c>
      <c r="X20" s="538">
        <v>1972</v>
      </c>
      <c r="Y20" s="538">
        <v>1973</v>
      </c>
      <c r="Z20" s="538">
        <v>1974</v>
      </c>
      <c r="AA20" s="538">
        <v>1975</v>
      </c>
      <c r="AB20" s="538">
        <v>1976</v>
      </c>
      <c r="AC20" s="538">
        <v>1977</v>
      </c>
      <c r="AD20" s="538">
        <v>1978</v>
      </c>
      <c r="AE20" s="538">
        <v>1979</v>
      </c>
      <c r="AF20" s="538">
        <v>1980</v>
      </c>
      <c r="AG20" s="538">
        <v>1981</v>
      </c>
      <c r="AH20" s="538">
        <v>1982</v>
      </c>
      <c r="AI20" s="538">
        <v>1983</v>
      </c>
      <c r="AJ20" s="538">
        <v>1984</v>
      </c>
      <c r="AK20" s="538">
        <v>1985</v>
      </c>
      <c r="AL20" s="538">
        <v>1986</v>
      </c>
      <c r="AM20" s="538">
        <v>1987</v>
      </c>
      <c r="AN20" s="538">
        <v>1988</v>
      </c>
      <c r="AO20" s="538">
        <v>1989</v>
      </c>
      <c r="AP20" s="538">
        <v>1990</v>
      </c>
      <c r="AQ20" s="539">
        <v>1991</v>
      </c>
      <c r="AR20" s="539">
        <v>1992</v>
      </c>
      <c r="AS20" s="539">
        <v>1993</v>
      </c>
      <c r="AT20" s="538">
        <v>1994</v>
      </c>
      <c r="AU20" s="538">
        <v>1995</v>
      </c>
      <c r="AV20" s="538">
        <v>1996</v>
      </c>
      <c r="AW20" s="538">
        <v>1997</v>
      </c>
      <c r="AX20" s="538">
        <v>1998</v>
      </c>
      <c r="AY20" s="538">
        <v>1999</v>
      </c>
      <c r="AZ20" s="538">
        <v>2000</v>
      </c>
      <c r="BA20" s="538">
        <v>2001</v>
      </c>
      <c r="BB20" s="538">
        <v>2002</v>
      </c>
      <c r="BC20" s="538">
        <v>2003</v>
      </c>
      <c r="BD20" s="538">
        <v>2004</v>
      </c>
      <c r="BE20" s="538">
        <v>2005</v>
      </c>
      <c r="BF20" s="538">
        <v>2006</v>
      </c>
      <c r="BG20" s="538">
        <v>2007</v>
      </c>
      <c r="BH20" s="538">
        <v>2008</v>
      </c>
      <c r="BI20" s="539">
        <v>2009</v>
      </c>
      <c r="BJ20" s="539">
        <v>2010</v>
      </c>
      <c r="BK20" s="539">
        <v>2011</v>
      </c>
      <c r="BL20" s="539">
        <v>2012</v>
      </c>
      <c r="BM20" s="539">
        <v>2013</v>
      </c>
      <c r="BN20" s="539">
        <v>2014</v>
      </c>
      <c r="BO20" s="539">
        <v>2015</v>
      </c>
      <c r="BP20" s="539">
        <v>2016</v>
      </c>
      <c r="BQ20" s="539">
        <v>2017</v>
      </c>
      <c r="BR20" s="539">
        <v>2018</v>
      </c>
      <c r="BS20" s="539">
        <v>2019</v>
      </c>
      <c r="BT20" s="539">
        <v>2020</v>
      </c>
      <c r="BU20" s="539">
        <v>2021</v>
      </c>
      <c r="BV20" s="539">
        <v>2022</v>
      </c>
      <c r="BW20" s="539">
        <v>2023</v>
      </c>
      <c r="BX20" s="534"/>
      <c r="BY20" s="534"/>
      <c r="BZ20" s="534"/>
      <c r="CA20" s="534"/>
    </row>
    <row r="21" spans="1:79" ht="15.75" customHeight="1">
      <c r="A21" s="571"/>
      <c r="B21" s="573"/>
      <c r="C21" s="545">
        <f t="shared" ref="C21:BW21" si="19">C18%*C15</f>
        <v>35.806213333379858</v>
      </c>
      <c r="D21" s="545">
        <f t="shared" si="19"/>
        <v>38.670898898650037</v>
      </c>
      <c r="E21" s="545">
        <f t="shared" si="19"/>
        <v>41.645782786614134</v>
      </c>
      <c r="F21" s="545">
        <f t="shared" si="19"/>
        <v>44.730864997272121</v>
      </c>
      <c r="G21" s="545">
        <f t="shared" si="19"/>
        <v>47.926145530624012</v>
      </c>
      <c r="H21" s="545">
        <f t="shared" si="19"/>
        <v>51.231624386669807</v>
      </c>
      <c r="I21" s="545">
        <f t="shared" si="19"/>
        <v>54.647301565409492</v>
      </c>
      <c r="J21" s="545">
        <f t="shared" si="19"/>
        <v>58.173177066843074</v>
      </c>
      <c r="K21" s="545">
        <f t="shared" si="19"/>
        <v>61.809250890970574</v>
      </c>
      <c r="L21" s="545">
        <f t="shared" si="19"/>
        <v>65.555523037791971</v>
      </c>
      <c r="M21" s="545">
        <f t="shared" si="19"/>
        <v>69.411993507307272</v>
      </c>
      <c r="N21" s="545">
        <f t="shared" si="19"/>
        <v>73.89262289743715</v>
      </c>
      <c r="O21" s="545">
        <f t="shared" si="19"/>
        <v>78.511290965353851</v>
      </c>
      <c r="P21" s="545">
        <f t="shared" si="19"/>
        <v>83.267997711057333</v>
      </c>
      <c r="Q21" s="545">
        <f t="shared" si="19"/>
        <v>88.162743134547611</v>
      </c>
      <c r="R21" s="545">
        <f t="shared" si="19"/>
        <v>93.195527235824699</v>
      </c>
      <c r="S21" s="545">
        <f t="shared" si="19"/>
        <v>98.366350014888596</v>
      </c>
      <c r="T21" s="545">
        <f t="shared" si="19"/>
        <v>103.67521147173929</v>
      </c>
      <c r="U21" s="545">
        <f t="shared" si="19"/>
        <v>109.12211160637676</v>
      </c>
      <c r="V21" s="545">
        <f t="shared" si="19"/>
        <v>114.70705041880106</v>
      </c>
      <c r="W21" s="545">
        <f t="shared" si="19"/>
        <v>120.43002790901221</v>
      </c>
      <c r="X21" s="545">
        <f t="shared" si="19"/>
        <v>127.68441028267652</v>
      </c>
      <c r="Y21" s="545">
        <f t="shared" si="19"/>
        <v>135.13622209440541</v>
      </c>
      <c r="Z21" s="545">
        <f t="shared" si="19"/>
        <v>142.78546334419889</v>
      </c>
      <c r="AA21" s="545">
        <f t="shared" si="19"/>
        <v>150.63213403205702</v>
      </c>
      <c r="AB21" s="545">
        <f t="shared" si="19"/>
        <v>158.67623415797974</v>
      </c>
      <c r="AC21" s="545">
        <f t="shared" si="19"/>
        <v>166.91776372196705</v>
      </c>
      <c r="AD21" s="545">
        <f t="shared" si="19"/>
        <v>175.35672272401897</v>
      </c>
      <c r="AE21" s="545">
        <f t="shared" si="19"/>
        <v>183.99311116413543</v>
      </c>
      <c r="AF21" s="545">
        <f t="shared" si="19"/>
        <v>192.82692904231655</v>
      </c>
      <c r="AG21" s="545">
        <f t="shared" si="19"/>
        <v>201.85817635856225</v>
      </c>
      <c r="AH21" s="545">
        <f t="shared" si="19"/>
        <v>217.99507011968049</v>
      </c>
      <c r="AI21" s="545">
        <f t="shared" si="19"/>
        <v>234.57211910953356</v>
      </c>
      <c r="AJ21" s="545">
        <f t="shared" si="19"/>
        <v>251.58932332812159</v>
      </c>
      <c r="AK21" s="545">
        <f t="shared" si="19"/>
        <v>269.04668277544454</v>
      </c>
      <c r="AL21" s="545">
        <f t="shared" si="19"/>
        <v>286.9441974515023</v>
      </c>
      <c r="AM21" s="545">
        <f t="shared" si="19"/>
        <v>305.28186735629515</v>
      </c>
      <c r="AN21" s="545">
        <f t="shared" si="19"/>
        <v>324.05969248982274</v>
      </c>
      <c r="AO21" s="545">
        <f t="shared" si="19"/>
        <v>343.27767285208529</v>
      </c>
      <c r="AP21" s="545">
        <f t="shared" si="19"/>
        <v>362.93580844308269</v>
      </c>
      <c r="AQ21" s="545">
        <f t="shared" si="19"/>
        <v>383.03409926281478</v>
      </c>
      <c r="AR21" s="545">
        <f t="shared" si="19"/>
        <v>391.81456008399164</v>
      </c>
      <c r="AS21" s="545">
        <f t="shared" si="19"/>
        <v>400.68378234054859</v>
      </c>
      <c r="AT21" s="545">
        <f t="shared" si="19"/>
        <v>409.64176603248552</v>
      </c>
      <c r="AU21" s="545">
        <f t="shared" si="19"/>
        <v>418.6885111598026</v>
      </c>
      <c r="AV21" s="545">
        <f t="shared" si="19"/>
        <v>427.82401772249989</v>
      </c>
      <c r="AW21" s="545">
        <f t="shared" si="19"/>
        <v>431.76039291820456</v>
      </c>
      <c r="AX21" s="545">
        <f t="shared" si="19"/>
        <v>435.70974438863624</v>
      </c>
      <c r="AY21" s="545">
        <f t="shared" si="19"/>
        <v>439.67210644787713</v>
      </c>
      <c r="AZ21" s="545">
        <f t="shared" si="19"/>
        <v>443.64751349214924</v>
      </c>
      <c r="BA21" s="545">
        <f t="shared" si="19"/>
        <v>447.63599999999997</v>
      </c>
      <c r="BB21" s="545">
        <f t="shared" si="19"/>
        <v>457.0834361576712</v>
      </c>
      <c r="BC21" s="545">
        <f t="shared" si="19"/>
        <v>466.64454684172898</v>
      </c>
      <c r="BD21" s="545">
        <f t="shared" si="19"/>
        <v>476.32410046205126</v>
      </c>
      <c r="BE21" s="545">
        <f t="shared" si="19"/>
        <v>87.49181905851475</v>
      </c>
      <c r="BF21" s="545">
        <f t="shared" si="19"/>
        <v>89.266590000000008</v>
      </c>
      <c r="BG21" s="545">
        <f t="shared" si="19"/>
        <v>94.41215644620128</v>
      </c>
      <c r="BH21" s="545">
        <f t="shared" si="19"/>
        <v>99.827098943797409</v>
      </c>
      <c r="BI21" s="545">
        <f t="shared" si="19"/>
        <v>105.52433827855309</v>
      </c>
      <c r="BJ21" s="545">
        <f t="shared" si="19"/>
        <v>111.53005917285599</v>
      </c>
      <c r="BK21" s="545">
        <f t="shared" si="19"/>
        <v>212.74291307905105</v>
      </c>
      <c r="BL21" s="545">
        <f t="shared" si="19"/>
        <v>236.36756194889091</v>
      </c>
      <c r="BM21" s="545">
        <f t="shared" si="19"/>
        <v>262.00381542919632</v>
      </c>
      <c r="BN21" s="545">
        <f t="shared" si="19"/>
        <v>289.78887544230588</v>
      </c>
      <c r="BO21" s="545">
        <f t="shared" si="19"/>
        <v>319.86644478567371</v>
      </c>
      <c r="BP21" s="545">
        <f t="shared" si="19"/>
        <v>352.33671964460564</v>
      </c>
      <c r="BQ21" s="545">
        <f t="shared" si="19"/>
        <v>0</v>
      </c>
      <c r="BR21" s="545">
        <f t="shared" si="19"/>
        <v>0</v>
      </c>
      <c r="BS21" s="545">
        <f t="shared" si="19"/>
        <v>0</v>
      </c>
      <c r="BT21" s="545">
        <f t="shared" si="19"/>
        <v>0</v>
      </c>
      <c r="BU21" s="545">
        <f t="shared" si="19"/>
        <v>0</v>
      </c>
      <c r="BV21" s="545">
        <f t="shared" si="19"/>
        <v>0</v>
      </c>
      <c r="BW21" s="545">
        <f t="shared" si="19"/>
        <v>0</v>
      </c>
      <c r="BX21" s="534"/>
      <c r="BY21" s="534"/>
      <c r="BZ21" s="534"/>
      <c r="CA21" s="534"/>
    </row>
    <row r="22" spans="1:79" ht="15.75" customHeight="1">
      <c r="A22" s="549"/>
      <c r="B22" s="549"/>
      <c r="C22" s="549"/>
      <c r="D22" s="549"/>
      <c r="E22" s="549"/>
      <c r="F22" s="549"/>
      <c r="G22" s="549"/>
      <c r="H22" s="54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c r="AG22" s="549"/>
      <c r="AH22" s="549"/>
      <c r="AI22" s="549"/>
      <c r="AJ22" s="549"/>
      <c r="AK22" s="549"/>
      <c r="AL22" s="549"/>
      <c r="AM22" s="549"/>
      <c r="AN22" s="549"/>
      <c r="AO22" s="549"/>
      <c r="AP22" s="549"/>
      <c r="AQ22" s="549"/>
      <c r="AR22" s="549"/>
      <c r="AS22" s="549"/>
      <c r="AT22" s="549"/>
      <c r="AU22" s="549"/>
      <c r="AV22" s="549"/>
      <c r="AW22" s="549"/>
      <c r="AX22" s="549"/>
      <c r="AY22" s="549"/>
      <c r="AZ22" s="549"/>
      <c r="BA22" s="549"/>
      <c r="BB22" s="549"/>
      <c r="BC22" s="549"/>
      <c r="BD22" s="549"/>
      <c r="BE22" s="549"/>
      <c r="BF22" s="549"/>
      <c r="BG22" s="549"/>
      <c r="BH22" s="549"/>
      <c r="BI22" s="549"/>
      <c r="BJ22" s="549"/>
      <c r="BK22" s="549"/>
      <c r="BL22" s="549"/>
      <c r="BM22" s="549"/>
      <c r="BN22" s="549"/>
      <c r="BO22" s="549"/>
      <c r="BP22" s="549"/>
      <c r="BQ22" s="549"/>
      <c r="BR22" s="549"/>
      <c r="BS22" s="549"/>
      <c r="BT22" s="549"/>
      <c r="BU22" s="549"/>
      <c r="BV22" s="549"/>
      <c r="BW22" s="549"/>
      <c r="BX22" s="534"/>
      <c r="BY22" s="534"/>
      <c r="BZ22" s="534"/>
      <c r="CA22" s="534"/>
    </row>
    <row r="23" spans="1:79" ht="15.75" customHeight="1">
      <c r="A23" s="536" t="s">
        <v>542</v>
      </c>
      <c r="B23" s="537" t="s">
        <v>539</v>
      </c>
      <c r="C23" s="538">
        <v>1951</v>
      </c>
      <c r="D23" s="538">
        <v>1952</v>
      </c>
      <c r="E23" s="538">
        <v>1953</v>
      </c>
      <c r="F23" s="538">
        <v>1954</v>
      </c>
      <c r="G23" s="538">
        <v>1955</v>
      </c>
      <c r="H23" s="538">
        <v>1956</v>
      </c>
      <c r="I23" s="538">
        <v>1957</v>
      </c>
      <c r="J23" s="538">
        <v>1958</v>
      </c>
      <c r="K23" s="538">
        <v>1959</v>
      </c>
      <c r="L23" s="538">
        <v>1960</v>
      </c>
      <c r="M23" s="538">
        <v>1961</v>
      </c>
      <c r="N23" s="538">
        <v>1962</v>
      </c>
      <c r="O23" s="538">
        <v>1963</v>
      </c>
      <c r="P23" s="538">
        <v>1964</v>
      </c>
      <c r="Q23" s="538">
        <v>1965</v>
      </c>
      <c r="R23" s="538">
        <v>1966</v>
      </c>
      <c r="S23" s="538">
        <v>1967</v>
      </c>
      <c r="T23" s="538">
        <v>1968</v>
      </c>
      <c r="U23" s="538">
        <v>1969</v>
      </c>
      <c r="V23" s="538">
        <v>1970</v>
      </c>
      <c r="W23" s="538">
        <v>1971</v>
      </c>
      <c r="X23" s="538">
        <v>1972</v>
      </c>
      <c r="Y23" s="538">
        <v>1973</v>
      </c>
      <c r="Z23" s="538">
        <v>1974</v>
      </c>
      <c r="AA23" s="538">
        <v>1975</v>
      </c>
      <c r="AB23" s="538">
        <v>1976</v>
      </c>
      <c r="AC23" s="538">
        <v>1977</v>
      </c>
      <c r="AD23" s="538">
        <v>1978</v>
      </c>
      <c r="AE23" s="538">
        <v>1979</v>
      </c>
      <c r="AF23" s="538">
        <v>1980</v>
      </c>
      <c r="AG23" s="538">
        <v>1981</v>
      </c>
      <c r="AH23" s="538">
        <v>1982</v>
      </c>
      <c r="AI23" s="538">
        <v>1983</v>
      </c>
      <c r="AJ23" s="538">
        <v>1984</v>
      </c>
      <c r="AK23" s="538">
        <v>1985</v>
      </c>
      <c r="AL23" s="538">
        <v>1986</v>
      </c>
      <c r="AM23" s="538">
        <v>1987</v>
      </c>
      <c r="AN23" s="538">
        <v>1988</v>
      </c>
      <c r="AO23" s="538">
        <v>1989</v>
      </c>
      <c r="AP23" s="538">
        <v>1990</v>
      </c>
      <c r="AQ23" s="539">
        <v>1991</v>
      </c>
      <c r="AR23" s="539">
        <v>1992</v>
      </c>
      <c r="AS23" s="539">
        <v>1993</v>
      </c>
      <c r="AT23" s="538">
        <v>1994</v>
      </c>
      <c r="AU23" s="538">
        <v>1995</v>
      </c>
      <c r="AV23" s="538">
        <v>1996</v>
      </c>
      <c r="AW23" s="538">
        <v>1997</v>
      </c>
      <c r="AX23" s="538">
        <v>1998</v>
      </c>
      <c r="AY23" s="538">
        <v>1999</v>
      </c>
      <c r="AZ23" s="538">
        <v>2000</v>
      </c>
      <c r="BA23" s="538">
        <v>2001</v>
      </c>
      <c r="BB23" s="538">
        <v>2002</v>
      </c>
      <c r="BC23" s="538">
        <v>2003</v>
      </c>
      <c r="BD23" s="538">
        <v>2004</v>
      </c>
      <c r="BE23" s="538">
        <v>2005</v>
      </c>
      <c r="BF23" s="538">
        <v>2006</v>
      </c>
      <c r="BG23" s="538">
        <v>2007</v>
      </c>
      <c r="BH23" s="538">
        <v>2008</v>
      </c>
      <c r="BI23" s="539">
        <v>2009</v>
      </c>
      <c r="BJ23" s="539">
        <v>2010</v>
      </c>
      <c r="BK23" s="539">
        <v>2011</v>
      </c>
      <c r="BL23" s="539">
        <v>2012</v>
      </c>
      <c r="BM23" s="539">
        <v>2013</v>
      </c>
      <c r="BN23" s="539">
        <v>2014</v>
      </c>
      <c r="BO23" s="539">
        <v>2015</v>
      </c>
      <c r="BP23" s="539">
        <v>2016</v>
      </c>
      <c r="BQ23" s="539">
        <v>2017</v>
      </c>
      <c r="BR23" s="539">
        <v>2018</v>
      </c>
      <c r="BS23" s="539">
        <v>2019</v>
      </c>
      <c r="BT23" s="539">
        <v>2020</v>
      </c>
      <c r="BU23" s="539">
        <v>2021</v>
      </c>
      <c r="BV23" s="539">
        <v>2022</v>
      </c>
      <c r="BW23" s="539">
        <v>2023</v>
      </c>
      <c r="BX23" s="534"/>
      <c r="BY23" s="534"/>
      <c r="BZ23" s="534"/>
      <c r="CA23" s="534"/>
    </row>
    <row r="24" spans="1:79" ht="15.75" customHeight="1">
      <c r="A24" s="571"/>
      <c r="B24" s="572"/>
      <c r="C24" s="574">
        <v>0</v>
      </c>
      <c r="D24" s="574">
        <v>0</v>
      </c>
      <c r="E24" s="574">
        <v>0</v>
      </c>
      <c r="F24" s="550">
        <f t="shared" ref="F24:AT24" si="20">F21*$B$44*$B$36*$B$37</f>
        <v>0.78379210882820116</v>
      </c>
      <c r="G24" s="550">
        <f t="shared" si="20"/>
        <v>0.83978109244580645</v>
      </c>
      <c r="H24" s="550">
        <f t="shared" si="20"/>
        <v>0.89770101515298306</v>
      </c>
      <c r="I24" s="550">
        <f t="shared" si="20"/>
        <v>0.95755187694973154</v>
      </c>
      <c r="J24" s="550">
        <f t="shared" si="20"/>
        <v>1.0193336778360513</v>
      </c>
      <c r="K24" s="550">
        <f t="shared" si="20"/>
        <v>1.083046417811943</v>
      </c>
      <c r="L24" s="550">
        <f t="shared" si="20"/>
        <v>1.1486900968774063</v>
      </c>
      <c r="M24" s="550">
        <f t="shared" si="20"/>
        <v>1.216264715032441</v>
      </c>
      <c r="N24" s="550">
        <f t="shared" si="20"/>
        <v>1.2947760954580529</v>
      </c>
      <c r="O24" s="550">
        <f t="shared" si="20"/>
        <v>1.3757062448113164</v>
      </c>
      <c r="P24" s="550">
        <f t="shared" si="20"/>
        <v>1.4590551630922313</v>
      </c>
      <c r="Q24" s="550">
        <f t="shared" si="20"/>
        <v>1.5448228503007972</v>
      </c>
      <c r="R24" s="550">
        <f t="shared" si="20"/>
        <v>1.633009306437015</v>
      </c>
      <c r="S24" s="550">
        <f t="shared" si="20"/>
        <v>1.7236145315008842</v>
      </c>
      <c r="T24" s="550">
        <f t="shared" si="20"/>
        <v>1.8166385254924049</v>
      </c>
      <c r="U24" s="550">
        <f t="shared" si="20"/>
        <v>1.9120812884115765</v>
      </c>
      <c r="V24" s="550">
        <f t="shared" si="20"/>
        <v>2.0099428202584</v>
      </c>
      <c r="W24" s="550">
        <f t="shared" si="20"/>
        <v>2.1102231210328757</v>
      </c>
      <c r="X24" s="550">
        <f t="shared" si="20"/>
        <v>2.2373373107371712</v>
      </c>
      <c r="Y24" s="550">
        <f t="shared" si="20"/>
        <v>2.3679109380270096</v>
      </c>
      <c r="Z24" s="550">
        <f t="shared" si="20"/>
        <v>2.5019440029023912</v>
      </c>
      <c r="AA24" s="550">
        <f t="shared" si="20"/>
        <v>2.6394365053633164</v>
      </c>
      <c r="AB24" s="550">
        <f t="shared" si="20"/>
        <v>2.7803884454097845</v>
      </c>
      <c r="AC24" s="550">
        <f t="shared" si="20"/>
        <v>2.9247998230417958</v>
      </c>
      <c r="AD24" s="550">
        <f t="shared" si="20"/>
        <v>3.0726706382593503</v>
      </c>
      <c r="AE24" s="550">
        <f t="shared" si="20"/>
        <v>3.2240008910624471</v>
      </c>
      <c r="AF24" s="550">
        <f t="shared" si="20"/>
        <v>3.3787905814510881</v>
      </c>
      <c r="AG24" s="550">
        <f t="shared" si="20"/>
        <v>3.5370397094252719</v>
      </c>
      <c r="AH24" s="550">
        <f t="shared" si="20"/>
        <v>3.8197968166650895</v>
      </c>
      <c r="AI24" s="550">
        <f t="shared" si="20"/>
        <v>4.1102664998848919</v>
      </c>
      <c r="AJ24" s="550">
        <f t="shared" si="20"/>
        <v>4.4084487590846786</v>
      </c>
      <c r="AK24" s="550">
        <f t="shared" si="20"/>
        <v>4.7143435942644505</v>
      </c>
      <c r="AL24" s="550">
        <f t="shared" si="20"/>
        <v>5.0279510054242049</v>
      </c>
      <c r="AM24" s="550">
        <f t="shared" si="20"/>
        <v>5.3492709925639472</v>
      </c>
      <c r="AN24" s="550">
        <f t="shared" si="20"/>
        <v>5.6783035556836712</v>
      </c>
      <c r="AO24" s="550">
        <f t="shared" si="20"/>
        <v>6.0150486947833803</v>
      </c>
      <c r="AP24" s="550">
        <f t="shared" si="20"/>
        <v>6.3595064098630729</v>
      </c>
      <c r="AQ24" s="550">
        <f t="shared" si="20"/>
        <v>6.7116767009227463</v>
      </c>
      <c r="AR24" s="550">
        <f t="shared" si="20"/>
        <v>6.8655314476157363</v>
      </c>
      <c r="AS24" s="550">
        <f t="shared" si="20"/>
        <v>7.0209415076840287</v>
      </c>
      <c r="AT24" s="550">
        <f t="shared" si="20"/>
        <v>7.1779068811276252</v>
      </c>
      <c r="AU24" s="550">
        <f t="shared" ref="AU24:BD24" si="21">AU21*$B$45*$B$36*$B$37</f>
        <v>7.8897663042953203</v>
      </c>
      <c r="AV24" s="550">
        <f t="shared" si="21"/>
        <v>8.0619157899627876</v>
      </c>
      <c r="AW24" s="550">
        <f t="shared" si="21"/>
        <v>8.1360928441506459</v>
      </c>
      <c r="AX24" s="550">
        <f t="shared" si="21"/>
        <v>8.2105144232594611</v>
      </c>
      <c r="AY24" s="550">
        <f t="shared" si="21"/>
        <v>8.2851811739037977</v>
      </c>
      <c r="AZ24" s="550">
        <f t="shared" si="21"/>
        <v>8.3600937442460612</v>
      </c>
      <c r="BA24" s="550">
        <f t="shared" si="21"/>
        <v>8.4352527839999993</v>
      </c>
      <c r="BB24" s="550">
        <f t="shared" si="21"/>
        <v>8.6132802709551566</v>
      </c>
      <c r="BC24" s="550">
        <f t="shared" si="21"/>
        <v>8.7934498406855415</v>
      </c>
      <c r="BD24" s="550">
        <f t="shared" si="21"/>
        <v>8.975851349106895</v>
      </c>
      <c r="BE24" s="550">
        <f t="shared" ref="BE24:BW24" si="22">BE21*$B$46*$B$36*$B$37</f>
        <v>2.2569564627972585</v>
      </c>
      <c r="BF24" s="550">
        <f t="shared" si="22"/>
        <v>2.3027388089580003</v>
      </c>
      <c r="BG24" s="550">
        <f t="shared" si="22"/>
        <v>2.4354748701174977</v>
      </c>
      <c r="BH24" s="550">
        <f t="shared" si="22"/>
        <v>2.5751598097739872</v>
      </c>
      <c r="BI24" s="550">
        <f t="shared" si="22"/>
        <v>2.7221269351012118</v>
      </c>
      <c r="BJ24" s="550">
        <f t="shared" si="22"/>
        <v>2.8770517124348278</v>
      </c>
      <c r="BK24" s="550">
        <f t="shared" si="22"/>
        <v>5.4879587343698173</v>
      </c>
      <c r="BL24" s="550">
        <f t="shared" si="22"/>
        <v>6.0973849015459809</v>
      </c>
      <c r="BM24" s="550">
        <f t="shared" si="22"/>
        <v>6.7587028235746347</v>
      </c>
      <c r="BN24" s="550">
        <f t="shared" si="22"/>
        <v>7.4754517886848122</v>
      </c>
      <c r="BO24" s="550">
        <f t="shared" si="22"/>
        <v>8.2513387829801967</v>
      </c>
      <c r="BP24" s="550">
        <f t="shared" si="22"/>
        <v>9.088948487296177</v>
      </c>
      <c r="BQ24" s="550">
        <f t="shared" si="22"/>
        <v>0</v>
      </c>
      <c r="BR24" s="550">
        <f t="shared" si="22"/>
        <v>0</v>
      </c>
      <c r="BS24" s="550">
        <f t="shared" si="22"/>
        <v>0</v>
      </c>
      <c r="BT24" s="550">
        <f t="shared" si="22"/>
        <v>0</v>
      </c>
      <c r="BU24" s="550">
        <f t="shared" si="22"/>
        <v>0</v>
      </c>
      <c r="BV24" s="550">
        <f t="shared" si="22"/>
        <v>0</v>
      </c>
      <c r="BW24" s="550">
        <f t="shared" si="22"/>
        <v>0</v>
      </c>
      <c r="BX24" s="534"/>
      <c r="BY24" s="534"/>
      <c r="BZ24" s="534"/>
      <c r="CA24" s="534"/>
    </row>
    <row r="25" spans="1:79" ht="15.75" customHeight="1">
      <c r="A25" s="549"/>
      <c r="B25" s="549"/>
      <c r="C25" s="549"/>
      <c r="D25" s="549"/>
      <c r="E25" s="549"/>
      <c r="F25" s="549"/>
      <c r="G25" s="549"/>
      <c r="H25" s="549"/>
      <c r="I25" s="549"/>
      <c r="J25" s="549"/>
      <c r="K25" s="549"/>
      <c r="L25" s="549"/>
      <c r="M25" s="549"/>
      <c r="N25" s="549"/>
      <c r="O25" s="549"/>
      <c r="P25" s="549"/>
      <c r="Q25" s="549"/>
      <c r="R25" s="549"/>
      <c r="S25" s="549"/>
      <c r="T25" s="549"/>
      <c r="U25" s="549"/>
      <c r="V25" s="549"/>
      <c r="W25" s="549"/>
      <c r="X25" s="549"/>
      <c r="Y25" s="549"/>
      <c r="Z25" s="549"/>
      <c r="AA25" s="549"/>
      <c r="AB25" s="549"/>
      <c r="AC25" s="549"/>
      <c r="AD25" s="549"/>
      <c r="AE25" s="549"/>
      <c r="AF25" s="549"/>
      <c r="AG25" s="549"/>
      <c r="AH25" s="549"/>
      <c r="AI25" s="549"/>
      <c r="AJ25" s="549"/>
      <c r="AK25" s="549"/>
      <c r="AL25" s="549"/>
      <c r="AM25" s="549"/>
      <c r="AN25" s="549"/>
      <c r="AO25" s="549"/>
      <c r="AP25" s="549"/>
      <c r="AQ25" s="549"/>
      <c r="AR25" s="549"/>
      <c r="AS25" s="549"/>
      <c r="AT25" s="549"/>
      <c r="AU25" s="549"/>
      <c r="AV25" s="549"/>
      <c r="AW25" s="549"/>
      <c r="AX25" s="549"/>
      <c r="AY25" s="549"/>
      <c r="AZ25" s="549"/>
      <c r="BA25" s="549"/>
      <c r="BB25" s="549"/>
      <c r="BC25" s="549"/>
      <c r="BD25" s="549"/>
      <c r="BE25" s="549"/>
      <c r="BF25" s="549"/>
      <c r="BG25" s="549"/>
      <c r="BH25" s="549"/>
      <c r="BI25" s="549"/>
      <c r="BJ25" s="549"/>
      <c r="BK25" s="549"/>
      <c r="BL25" s="549"/>
      <c r="BM25" s="549"/>
      <c r="BN25" s="549"/>
      <c r="BO25" s="549"/>
      <c r="BP25" s="549"/>
      <c r="BQ25" s="549"/>
      <c r="BR25" s="549"/>
      <c r="BS25" s="549"/>
      <c r="BT25" s="549"/>
      <c r="BU25" s="549"/>
      <c r="BV25" s="549"/>
      <c r="BW25" s="549"/>
      <c r="BX25" s="534"/>
      <c r="BY25" s="534"/>
      <c r="BZ25" s="534"/>
      <c r="CA25" s="534"/>
    </row>
    <row r="26" spans="1:79" ht="15.75" customHeight="1">
      <c r="A26" s="536" t="s">
        <v>543</v>
      </c>
      <c r="B26" s="537" t="s">
        <v>539</v>
      </c>
      <c r="C26" s="538">
        <v>1951</v>
      </c>
      <c r="D26" s="538">
        <v>1952</v>
      </c>
      <c r="E26" s="538">
        <v>1953</v>
      </c>
      <c r="F26" s="538">
        <v>1954</v>
      </c>
      <c r="G26" s="538">
        <v>1955</v>
      </c>
      <c r="H26" s="538">
        <v>1956</v>
      </c>
      <c r="I26" s="538">
        <v>1957</v>
      </c>
      <c r="J26" s="538">
        <v>1958</v>
      </c>
      <c r="K26" s="538">
        <v>1959</v>
      </c>
      <c r="L26" s="538">
        <v>1960</v>
      </c>
      <c r="M26" s="538">
        <v>1961</v>
      </c>
      <c r="N26" s="538">
        <v>1962</v>
      </c>
      <c r="O26" s="538">
        <v>1963</v>
      </c>
      <c r="P26" s="538">
        <v>1964</v>
      </c>
      <c r="Q26" s="538">
        <v>1965</v>
      </c>
      <c r="R26" s="538">
        <v>1966</v>
      </c>
      <c r="S26" s="538">
        <v>1967</v>
      </c>
      <c r="T26" s="538">
        <v>1968</v>
      </c>
      <c r="U26" s="538">
        <v>1969</v>
      </c>
      <c r="V26" s="538">
        <v>1970</v>
      </c>
      <c r="W26" s="538">
        <v>1971</v>
      </c>
      <c r="X26" s="538">
        <v>1972</v>
      </c>
      <c r="Y26" s="538">
        <v>1973</v>
      </c>
      <c r="Z26" s="538">
        <v>1974</v>
      </c>
      <c r="AA26" s="538">
        <v>1975</v>
      </c>
      <c r="AB26" s="538">
        <v>1976</v>
      </c>
      <c r="AC26" s="538">
        <v>1977</v>
      </c>
      <c r="AD26" s="538">
        <v>1978</v>
      </c>
      <c r="AE26" s="538">
        <v>1979</v>
      </c>
      <c r="AF26" s="538">
        <v>1980</v>
      </c>
      <c r="AG26" s="538">
        <v>1981</v>
      </c>
      <c r="AH26" s="538">
        <v>1982</v>
      </c>
      <c r="AI26" s="538">
        <v>1983</v>
      </c>
      <c r="AJ26" s="538">
        <v>1984</v>
      </c>
      <c r="AK26" s="538">
        <v>1985</v>
      </c>
      <c r="AL26" s="538">
        <v>1986</v>
      </c>
      <c r="AM26" s="538">
        <v>1987</v>
      </c>
      <c r="AN26" s="538">
        <v>1988</v>
      </c>
      <c r="AO26" s="538">
        <v>1989</v>
      </c>
      <c r="AP26" s="538">
        <v>1990</v>
      </c>
      <c r="AQ26" s="539">
        <v>1991</v>
      </c>
      <c r="AR26" s="539">
        <v>1992</v>
      </c>
      <c r="AS26" s="539">
        <v>1993</v>
      </c>
      <c r="AT26" s="538">
        <v>1994</v>
      </c>
      <c r="AU26" s="538">
        <v>1995</v>
      </c>
      <c r="AV26" s="538">
        <v>1996</v>
      </c>
      <c r="AW26" s="538">
        <v>1997</v>
      </c>
      <c r="AX26" s="538">
        <v>1998</v>
      </c>
      <c r="AY26" s="538">
        <v>1999</v>
      </c>
      <c r="AZ26" s="538">
        <v>2000</v>
      </c>
      <c r="BA26" s="538">
        <v>2001</v>
      </c>
      <c r="BB26" s="538">
        <v>2002</v>
      </c>
      <c r="BC26" s="538">
        <v>2003</v>
      </c>
      <c r="BD26" s="538">
        <v>2004</v>
      </c>
      <c r="BE26" s="538">
        <v>2005</v>
      </c>
      <c r="BF26" s="538">
        <v>2006</v>
      </c>
      <c r="BG26" s="538">
        <v>2007</v>
      </c>
      <c r="BH26" s="538">
        <v>2008</v>
      </c>
      <c r="BI26" s="539">
        <v>2009</v>
      </c>
      <c r="BJ26" s="539">
        <v>2010</v>
      </c>
      <c r="BK26" s="539">
        <v>2011</v>
      </c>
      <c r="BL26" s="539">
        <v>2012</v>
      </c>
      <c r="BM26" s="539">
        <v>2013</v>
      </c>
      <c r="BN26" s="539">
        <v>2014</v>
      </c>
      <c r="BO26" s="539">
        <v>2015</v>
      </c>
      <c r="BP26" s="539">
        <v>2016</v>
      </c>
      <c r="BQ26" s="539">
        <v>2017</v>
      </c>
      <c r="BR26" s="539">
        <v>2018</v>
      </c>
      <c r="BS26" s="539">
        <v>2019</v>
      </c>
      <c r="BT26" s="539">
        <v>2020</v>
      </c>
      <c r="BU26" s="539">
        <v>2021</v>
      </c>
      <c r="BV26" s="539">
        <v>2022</v>
      </c>
      <c r="BW26" s="539">
        <v>2023</v>
      </c>
      <c r="BX26" s="534"/>
      <c r="BY26" s="534"/>
      <c r="BZ26" s="534"/>
      <c r="CA26" s="534"/>
    </row>
    <row r="27" spans="1:79" ht="15.75" customHeight="1">
      <c r="A27" s="571"/>
      <c r="B27" s="573"/>
      <c r="C27" s="574">
        <v>0</v>
      </c>
      <c r="D27" s="574">
        <v>0</v>
      </c>
      <c r="E27" s="574">
        <v>0</v>
      </c>
      <c r="F27" s="550">
        <f t="shared" ref="F27:BQ27" si="23">F24+(E27*$B$38)</f>
        <v>0.78379210882820116</v>
      </c>
      <c r="G27" s="550">
        <f t="shared" si="23"/>
        <v>1.5010505738388242</v>
      </c>
      <c r="H27" s="550">
        <f t="shared" si="23"/>
        <v>2.1641068941188535</v>
      </c>
      <c r="I27" s="550">
        <f t="shared" si="23"/>
        <v>2.7833649049636451</v>
      </c>
      <c r="J27" s="550">
        <f t="shared" si="23"/>
        <v>3.367602110883348</v>
      </c>
      <c r="K27" s="550">
        <f t="shared" si="23"/>
        <v>3.9242239141395761</v>
      </c>
      <c r="L27" s="550">
        <f t="shared" si="23"/>
        <v>4.4594781021977639</v>
      </c>
      <c r="M27" s="550">
        <f t="shared" si="23"/>
        <v>4.9786358064339318</v>
      </c>
      <c r="N27" s="550">
        <f t="shared" si="23"/>
        <v>5.4951499965008548</v>
      </c>
      <c r="O27" s="550">
        <f t="shared" si="23"/>
        <v>6.011852676287381</v>
      </c>
      <c r="P27" s="550">
        <f t="shared" si="23"/>
        <v>6.5311331499492802</v>
      </c>
      <c r="Q27" s="550">
        <f t="shared" si="23"/>
        <v>7.0550072248698843</v>
      </c>
      <c r="R27" s="550">
        <f t="shared" si="23"/>
        <v>7.585175596792304</v>
      </c>
      <c r="S27" s="550">
        <f t="shared" si="23"/>
        <v>8.1230731081695122</v>
      </c>
      <c r="T27" s="550">
        <f t="shared" si="23"/>
        <v>8.6699103064337564</v>
      </c>
      <c r="U27" s="550">
        <f t="shared" si="23"/>
        <v>9.2267085058643055</v>
      </c>
      <c r="V27" s="550">
        <f t="shared" si="23"/>
        <v>9.7943293685730701</v>
      </c>
      <c r="W27" s="550">
        <f t="shared" si="23"/>
        <v>10.373499861381305</v>
      </c>
      <c r="X27" s="550">
        <f t="shared" si="23"/>
        <v>10.989248431431712</v>
      </c>
      <c r="Y27" s="550">
        <f t="shared" si="23"/>
        <v>11.639316619842441</v>
      </c>
      <c r="Z27" s="550">
        <f t="shared" si="23"/>
        <v>12.321799010729965</v>
      </c>
      <c r="AA27" s="550">
        <f t="shared" si="23"/>
        <v>13.035088043417225</v>
      </c>
      <c r="AB27" s="550">
        <f t="shared" si="23"/>
        <v>13.777827451614661</v>
      </c>
      <c r="AC27" s="550">
        <f t="shared" si="23"/>
        <v>14.548872981003015</v>
      </c>
      <c r="AD27" s="550">
        <f t="shared" si="23"/>
        <v>15.347259247455867</v>
      </c>
      <c r="AE27" s="550">
        <f t="shared" si="23"/>
        <v>16.172171775995174</v>
      </c>
      <c r="AF27" s="550">
        <f t="shared" si="23"/>
        <v>17.022923410626046</v>
      </c>
      <c r="AG27" s="550">
        <f t="shared" si="23"/>
        <v>17.89893441179348</v>
      </c>
      <c r="AH27" s="550">
        <f t="shared" si="23"/>
        <v>18.920764206691015</v>
      </c>
      <c r="AI27" s="550">
        <f t="shared" si="23"/>
        <v>20.073330931885415</v>
      </c>
      <c r="AJ27" s="550">
        <f t="shared" si="23"/>
        <v>21.343910325549345</v>
      </c>
      <c r="AK27" s="550">
        <f t="shared" si="23"/>
        <v>22.721767186441426</v>
      </c>
      <c r="AL27" s="550">
        <f t="shared" si="23"/>
        <v>24.197844443333743</v>
      </c>
      <c r="AM27" s="550">
        <f t="shared" si="23"/>
        <v>25.764500829203623</v>
      </c>
      <c r="AN27" s="550">
        <f t="shared" si="23"/>
        <v>27.415289562277735</v>
      </c>
      <c r="AO27" s="550">
        <f t="shared" si="23"/>
        <v>29.144771623724573</v>
      </c>
      <c r="AP27" s="550">
        <f t="shared" si="23"/>
        <v>30.948358223836401</v>
      </c>
      <c r="AQ27" s="550">
        <f t="shared" si="23"/>
        <v>32.822177893946865</v>
      </c>
      <c r="AR27" s="550">
        <f t="shared" si="23"/>
        <v>34.556936234234954</v>
      </c>
      <c r="AS27" s="550">
        <f t="shared" si="23"/>
        <v>36.175926668619006</v>
      </c>
      <c r="AT27" s="550">
        <f t="shared" si="23"/>
        <v>37.698801385709821</v>
      </c>
      <c r="AU27" s="550">
        <f t="shared" si="23"/>
        <v>39.695479274200842</v>
      </c>
      <c r="AV27" s="550">
        <f t="shared" si="23"/>
        <v>41.552185336745978</v>
      </c>
      <c r="AW27" s="550">
        <f t="shared" si="23"/>
        <v>43.192827581447268</v>
      </c>
      <c r="AX27" s="550">
        <f t="shared" si="23"/>
        <v>44.651425696764235</v>
      </c>
      <c r="AY27" s="550">
        <f t="shared" si="23"/>
        <v>45.956682049437717</v>
      </c>
      <c r="AZ27" s="550">
        <f t="shared" si="23"/>
        <v>47.132812891430788</v>
      </c>
      <c r="BA27" s="550">
        <f t="shared" si="23"/>
        <v>48.200249632344345</v>
      </c>
      <c r="BB27" s="550">
        <f t="shared" si="23"/>
        <v>49.278851815233928</v>
      </c>
      <c r="BC27" s="550">
        <f t="shared" si="23"/>
        <v>50.369016137495187</v>
      </c>
      <c r="BD27" s="550">
        <f t="shared" si="23"/>
        <v>51.471167140578636</v>
      </c>
      <c r="BE27" s="550">
        <f t="shared" si="23"/>
        <v>45.682134668060577</v>
      </c>
      <c r="BF27" s="550">
        <f t="shared" si="23"/>
        <v>40.843827907235379</v>
      </c>
      <c r="BG27" s="550">
        <f t="shared" si="23"/>
        <v>36.894582832689807</v>
      </c>
      <c r="BH27" s="550">
        <f t="shared" si="23"/>
        <v>33.702369922235263</v>
      </c>
      <c r="BI27" s="550">
        <f t="shared" si="23"/>
        <v>31.156131857032733</v>
      </c>
      <c r="BJ27" s="550">
        <f t="shared" si="23"/>
        <v>29.162847299372011</v>
      </c>
      <c r="BK27" s="550">
        <f t="shared" si="23"/>
        <v>30.092060628723615</v>
      </c>
      <c r="BL27" s="550">
        <f t="shared" si="23"/>
        <v>31.485445207170919</v>
      </c>
      <c r="BM27" s="550">
        <f t="shared" si="23"/>
        <v>33.322333394825762</v>
      </c>
      <c r="BN27" s="550">
        <f t="shared" si="23"/>
        <v>35.588827611956233</v>
      </c>
      <c r="BO27" s="550">
        <f t="shared" si="23"/>
        <v>38.276909738941647</v>
      </c>
      <c r="BP27" s="550">
        <f t="shared" si="23"/>
        <v>41.382399731961975</v>
      </c>
      <c r="BQ27" s="550">
        <f t="shared" si="23"/>
        <v>34.913490071320886</v>
      </c>
      <c r="BR27" s="550">
        <f t="shared" ref="BR27:BW27" si="24">BR24+(BQ27*$B$38)</f>
        <v>29.45580239076267</v>
      </c>
      <c r="BS27" s="550">
        <f t="shared" si="24"/>
        <v>24.851262154291817</v>
      </c>
      <c r="BT27" s="550">
        <f t="shared" si="24"/>
        <v>20.966505086787631</v>
      </c>
      <c r="BU27" s="550">
        <f t="shared" si="24"/>
        <v>17.689014458300804</v>
      </c>
      <c r="BV27" s="550">
        <f t="shared" si="24"/>
        <v>14.923862189276099</v>
      </c>
      <c r="BW27" s="550">
        <f t="shared" si="24"/>
        <v>12.590959387225199</v>
      </c>
      <c r="BX27" s="534"/>
      <c r="BY27" s="534"/>
      <c r="BZ27" s="534"/>
      <c r="CA27" s="534"/>
    </row>
    <row r="28" spans="1:79" ht="15.75" customHeight="1">
      <c r="A28" s="549"/>
      <c r="B28" s="549"/>
      <c r="C28" s="549"/>
      <c r="D28" s="549"/>
      <c r="E28" s="549"/>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49"/>
      <c r="AW28" s="549"/>
      <c r="AX28" s="549"/>
      <c r="AY28" s="549"/>
      <c r="AZ28" s="549"/>
      <c r="BA28" s="549"/>
      <c r="BB28" s="549"/>
      <c r="BC28" s="549"/>
      <c r="BD28" s="549"/>
      <c r="BE28" s="549"/>
      <c r="BF28" s="549"/>
      <c r="BG28" s="549"/>
      <c r="BH28" s="549"/>
      <c r="BI28" s="549"/>
      <c r="BJ28" s="549"/>
      <c r="BK28" s="549"/>
      <c r="BL28" s="549"/>
      <c r="BM28" s="549"/>
      <c r="BN28" s="549"/>
      <c r="BO28" s="549"/>
      <c r="BP28" s="549"/>
      <c r="BQ28" s="549"/>
      <c r="BR28" s="549"/>
      <c r="BS28" s="549"/>
      <c r="BT28" s="549"/>
      <c r="BU28" s="549"/>
      <c r="BV28" s="549"/>
      <c r="BW28" s="549"/>
      <c r="BX28" s="534"/>
      <c r="BY28" s="534"/>
      <c r="BZ28" s="534"/>
      <c r="CA28" s="534"/>
    </row>
    <row r="29" spans="1:79" ht="15.75" customHeight="1">
      <c r="A29" s="536" t="s">
        <v>544</v>
      </c>
      <c r="B29" s="537" t="s">
        <v>539</v>
      </c>
      <c r="C29" s="538">
        <v>1951</v>
      </c>
      <c r="D29" s="538">
        <v>1952</v>
      </c>
      <c r="E29" s="538">
        <v>1953</v>
      </c>
      <c r="F29" s="538">
        <v>1954</v>
      </c>
      <c r="G29" s="538">
        <v>1955</v>
      </c>
      <c r="H29" s="538">
        <v>1956</v>
      </c>
      <c r="I29" s="538">
        <v>1957</v>
      </c>
      <c r="J29" s="538">
        <v>1958</v>
      </c>
      <c r="K29" s="538">
        <v>1959</v>
      </c>
      <c r="L29" s="538">
        <v>1960</v>
      </c>
      <c r="M29" s="538">
        <v>1961</v>
      </c>
      <c r="N29" s="538">
        <v>1962</v>
      </c>
      <c r="O29" s="538">
        <v>1963</v>
      </c>
      <c r="P29" s="538">
        <v>1964</v>
      </c>
      <c r="Q29" s="538">
        <v>1965</v>
      </c>
      <c r="R29" s="538">
        <v>1966</v>
      </c>
      <c r="S29" s="538">
        <v>1967</v>
      </c>
      <c r="T29" s="538">
        <v>1968</v>
      </c>
      <c r="U29" s="538">
        <v>1969</v>
      </c>
      <c r="V29" s="538">
        <v>1970</v>
      </c>
      <c r="W29" s="538">
        <v>1971</v>
      </c>
      <c r="X29" s="538">
        <v>1972</v>
      </c>
      <c r="Y29" s="538">
        <v>1973</v>
      </c>
      <c r="Z29" s="538">
        <v>1974</v>
      </c>
      <c r="AA29" s="538">
        <v>1975</v>
      </c>
      <c r="AB29" s="538">
        <v>1976</v>
      </c>
      <c r="AC29" s="538">
        <v>1977</v>
      </c>
      <c r="AD29" s="538">
        <v>1978</v>
      </c>
      <c r="AE29" s="538">
        <v>1979</v>
      </c>
      <c r="AF29" s="538">
        <v>1980</v>
      </c>
      <c r="AG29" s="538">
        <v>1981</v>
      </c>
      <c r="AH29" s="538">
        <v>1982</v>
      </c>
      <c r="AI29" s="538">
        <v>1983</v>
      </c>
      <c r="AJ29" s="538">
        <v>1984</v>
      </c>
      <c r="AK29" s="538">
        <v>1985</v>
      </c>
      <c r="AL29" s="538">
        <v>1986</v>
      </c>
      <c r="AM29" s="538">
        <v>1987</v>
      </c>
      <c r="AN29" s="538">
        <v>1988</v>
      </c>
      <c r="AO29" s="538">
        <v>1989</v>
      </c>
      <c r="AP29" s="538">
        <v>1990</v>
      </c>
      <c r="AQ29" s="539">
        <v>1991</v>
      </c>
      <c r="AR29" s="539">
        <v>1992</v>
      </c>
      <c r="AS29" s="539">
        <v>1993</v>
      </c>
      <c r="AT29" s="538">
        <v>1994</v>
      </c>
      <c r="AU29" s="538">
        <v>1995</v>
      </c>
      <c r="AV29" s="538">
        <v>1996</v>
      </c>
      <c r="AW29" s="538">
        <v>1997</v>
      </c>
      <c r="AX29" s="538">
        <v>1998</v>
      </c>
      <c r="AY29" s="538">
        <v>1999</v>
      </c>
      <c r="AZ29" s="538">
        <v>2000</v>
      </c>
      <c r="BA29" s="538">
        <v>2001</v>
      </c>
      <c r="BB29" s="538">
        <v>2002</v>
      </c>
      <c r="BC29" s="538">
        <v>2003</v>
      </c>
      <c r="BD29" s="538">
        <v>2004</v>
      </c>
      <c r="BE29" s="538">
        <v>2005</v>
      </c>
      <c r="BF29" s="538">
        <v>2006</v>
      </c>
      <c r="BG29" s="538">
        <v>2007</v>
      </c>
      <c r="BH29" s="538">
        <v>2008</v>
      </c>
      <c r="BI29" s="539">
        <v>2009</v>
      </c>
      <c r="BJ29" s="539">
        <v>2010</v>
      </c>
      <c r="BK29" s="539">
        <v>2011</v>
      </c>
      <c r="BL29" s="539">
        <v>2012</v>
      </c>
      <c r="BM29" s="539">
        <v>2013</v>
      </c>
      <c r="BN29" s="539">
        <v>2014</v>
      </c>
      <c r="BO29" s="539">
        <v>2015</v>
      </c>
      <c r="BP29" s="539">
        <v>2016</v>
      </c>
      <c r="BQ29" s="539">
        <v>2017</v>
      </c>
      <c r="BR29" s="539">
        <v>2018</v>
      </c>
      <c r="BS29" s="539">
        <v>2019</v>
      </c>
      <c r="BT29" s="539">
        <v>2020</v>
      </c>
      <c r="BU29" s="539">
        <v>2021</v>
      </c>
      <c r="BV29" s="539">
        <v>2022</v>
      </c>
      <c r="BW29" s="539">
        <v>2023</v>
      </c>
      <c r="BX29" s="534"/>
      <c r="BY29" s="534"/>
      <c r="BZ29" s="534"/>
      <c r="CA29" s="534"/>
    </row>
    <row r="30" spans="1:79" ht="15.75" customHeight="1">
      <c r="A30" s="571"/>
      <c r="B30" s="572"/>
      <c r="C30" s="575">
        <v>0</v>
      </c>
      <c r="D30" s="575">
        <v>0</v>
      </c>
      <c r="E30" s="575">
        <v>0</v>
      </c>
      <c r="F30" s="576">
        <f t="shared" ref="F30:BQ30" si="25">E27*(1-$B$38)</f>
        <v>0</v>
      </c>
      <c r="G30" s="576">
        <f t="shared" si="25"/>
        <v>0.12252262743518325</v>
      </c>
      <c r="H30" s="576">
        <f t="shared" si="25"/>
        <v>0.23464469487295384</v>
      </c>
      <c r="I30" s="576">
        <f t="shared" si="25"/>
        <v>0.33829386610493972</v>
      </c>
      <c r="J30" s="576">
        <f t="shared" si="25"/>
        <v>0.43509647191634843</v>
      </c>
      <c r="K30" s="576">
        <f t="shared" si="25"/>
        <v>0.52642461455571543</v>
      </c>
      <c r="L30" s="576">
        <f t="shared" si="25"/>
        <v>0.61343590881921906</v>
      </c>
      <c r="M30" s="576">
        <f t="shared" si="25"/>
        <v>0.69710701079627335</v>
      </c>
      <c r="N30" s="576">
        <f t="shared" si="25"/>
        <v>0.77826190539112994</v>
      </c>
      <c r="O30" s="576">
        <f t="shared" si="25"/>
        <v>0.85900356502478969</v>
      </c>
      <c r="P30" s="576">
        <f t="shared" si="25"/>
        <v>0.93977468943033249</v>
      </c>
      <c r="Q30" s="576">
        <f t="shared" si="25"/>
        <v>1.0209487753801925</v>
      </c>
      <c r="R30" s="576">
        <f t="shared" si="25"/>
        <v>1.1028409345145955</v>
      </c>
      <c r="S30" s="576">
        <f t="shared" si="25"/>
        <v>1.1857170201236766</v>
      </c>
      <c r="T30" s="576">
        <f t="shared" si="25"/>
        <v>1.2698013272281612</v>
      </c>
      <c r="U30" s="576">
        <f t="shared" si="25"/>
        <v>1.3552830889810281</v>
      </c>
      <c r="V30" s="576">
        <f t="shared" si="25"/>
        <v>1.4423219575496362</v>
      </c>
      <c r="W30" s="576">
        <f t="shared" si="25"/>
        <v>1.5310526282246417</v>
      </c>
      <c r="X30" s="576">
        <f t="shared" si="25"/>
        <v>1.6215887406867651</v>
      </c>
      <c r="Y30" s="576">
        <f t="shared" si="25"/>
        <v>1.7178427496162798</v>
      </c>
      <c r="Z30" s="576">
        <f t="shared" si="25"/>
        <v>1.8194616120148681</v>
      </c>
      <c r="AA30" s="576">
        <f t="shared" si="25"/>
        <v>1.9261474726760575</v>
      </c>
      <c r="AB30" s="576">
        <f t="shared" si="25"/>
        <v>2.0376490372123488</v>
      </c>
      <c r="AC30" s="576">
        <f t="shared" si="25"/>
        <v>2.1537542936534408</v>
      </c>
      <c r="AD30" s="576">
        <f t="shared" si="25"/>
        <v>2.2742843718064987</v>
      </c>
      <c r="AE30" s="576">
        <f t="shared" si="25"/>
        <v>2.3990883625231376</v>
      </c>
      <c r="AF30" s="576">
        <f t="shared" si="25"/>
        <v>2.5280389468202169</v>
      </c>
      <c r="AG30" s="576">
        <f t="shared" si="25"/>
        <v>2.6610287082578368</v>
      </c>
      <c r="AH30" s="576">
        <f t="shared" si="25"/>
        <v>2.7979670217675552</v>
      </c>
      <c r="AI30" s="576">
        <f t="shared" si="25"/>
        <v>2.9576997746904889</v>
      </c>
      <c r="AJ30" s="576">
        <f t="shared" si="25"/>
        <v>3.1378693654207468</v>
      </c>
      <c r="AK30" s="576">
        <f t="shared" si="25"/>
        <v>3.3364867333723662</v>
      </c>
      <c r="AL30" s="576">
        <f t="shared" si="25"/>
        <v>3.5518737485318859</v>
      </c>
      <c r="AM30" s="576">
        <f t="shared" si="25"/>
        <v>3.7826146066940667</v>
      </c>
      <c r="AN30" s="576">
        <f t="shared" si="25"/>
        <v>4.0275148226095601</v>
      </c>
      <c r="AO30" s="576">
        <f t="shared" si="25"/>
        <v>4.2855666333365425</v>
      </c>
      <c r="AP30" s="576">
        <f t="shared" si="25"/>
        <v>4.5559198097512468</v>
      </c>
      <c r="AQ30" s="576">
        <f t="shared" si="25"/>
        <v>4.8378570308122804</v>
      </c>
      <c r="AR30" s="576">
        <f t="shared" si="25"/>
        <v>5.1307731073276477</v>
      </c>
      <c r="AS30" s="576">
        <f t="shared" si="25"/>
        <v>5.4019510732999771</v>
      </c>
      <c r="AT30" s="576">
        <f t="shared" si="25"/>
        <v>5.6550321640368084</v>
      </c>
      <c r="AU30" s="576">
        <f t="shared" si="25"/>
        <v>5.8930884158042982</v>
      </c>
      <c r="AV30" s="576">
        <f t="shared" si="25"/>
        <v>6.2052097274176514</v>
      </c>
      <c r="AW30" s="576">
        <f t="shared" si="25"/>
        <v>6.4954505994493532</v>
      </c>
      <c r="AX30" s="576">
        <f t="shared" si="25"/>
        <v>6.751916307942496</v>
      </c>
      <c r="AY30" s="576">
        <f t="shared" si="25"/>
        <v>6.9799248212303127</v>
      </c>
      <c r="AZ30" s="576">
        <f t="shared" si="25"/>
        <v>7.1839629022529845</v>
      </c>
      <c r="BA30" s="576">
        <f t="shared" si="25"/>
        <v>7.3678160430864441</v>
      </c>
      <c r="BB30" s="576">
        <f t="shared" si="25"/>
        <v>7.534678088065573</v>
      </c>
      <c r="BC30" s="576">
        <f t="shared" si="25"/>
        <v>7.7032855184242814</v>
      </c>
      <c r="BD30" s="576">
        <f t="shared" si="25"/>
        <v>7.8737003460234485</v>
      </c>
      <c r="BE30" s="576">
        <f t="shared" si="25"/>
        <v>8.0459889353153127</v>
      </c>
      <c r="BF30" s="576">
        <f t="shared" si="25"/>
        <v>7.1410455697831958</v>
      </c>
      <c r="BG30" s="576">
        <f t="shared" si="25"/>
        <v>6.3847199446630665</v>
      </c>
      <c r="BH30" s="576">
        <f t="shared" si="25"/>
        <v>5.7673727202285328</v>
      </c>
      <c r="BI30" s="576">
        <f t="shared" si="25"/>
        <v>5.2683650003037421</v>
      </c>
      <c r="BJ30" s="576">
        <f t="shared" si="25"/>
        <v>4.8703362700955486</v>
      </c>
      <c r="BK30" s="576">
        <f t="shared" si="25"/>
        <v>4.5587454050182128</v>
      </c>
      <c r="BL30" s="576">
        <f t="shared" si="25"/>
        <v>4.7040003230986747</v>
      </c>
      <c r="BM30" s="576">
        <f t="shared" si="25"/>
        <v>4.9218146359197918</v>
      </c>
      <c r="BN30" s="576">
        <f t="shared" si="25"/>
        <v>5.2089575715543406</v>
      </c>
      <c r="BO30" s="576">
        <f t="shared" si="25"/>
        <v>5.5632566559947811</v>
      </c>
      <c r="BP30" s="576">
        <f t="shared" si="25"/>
        <v>5.9834584942758537</v>
      </c>
      <c r="BQ30" s="576">
        <f t="shared" si="25"/>
        <v>6.4689096606410912</v>
      </c>
      <c r="BR30" s="576">
        <f t="shared" ref="BR30:BW30" si="26">BQ27*(1-$B$38)</f>
        <v>5.4576876805582168</v>
      </c>
      <c r="BS30" s="576">
        <f t="shared" si="26"/>
        <v>4.6045402364708536</v>
      </c>
      <c r="BT30" s="576">
        <f t="shared" si="26"/>
        <v>3.8847570675041876</v>
      </c>
      <c r="BU30" s="576">
        <f t="shared" si="26"/>
        <v>3.2774906284868255</v>
      </c>
      <c r="BV30" s="576">
        <f t="shared" si="26"/>
        <v>2.7651522690247052</v>
      </c>
      <c r="BW30" s="576">
        <f t="shared" si="26"/>
        <v>2.3329028020508988</v>
      </c>
      <c r="BX30" s="534"/>
      <c r="BY30" s="534"/>
      <c r="BZ30" s="534"/>
      <c r="CA30" s="534"/>
    </row>
    <row r="31" spans="1:79" ht="15.75" customHeight="1">
      <c r="A31" s="549"/>
      <c r="B31" s="549"/>
      <c r="C31" s="549"/>
      <c r="D31" s="549"/>
      <c r="E31" s="549"/>
      <c r="F31" s="549"/>
      <c r="G31" s="549"/>
      <c r="H31" s="549"/>
      <c r="I31" s="549"/>
      <c r="J31" s="549"/>
      <c r="K31" s="549"/>
      <c r="L31" s="549"/>
      <c r="M31" s="549"/>
      <c r="N31" s="549"/>
      <c r="O31" s="549"/>
      <c r="P31" s="549"/>
      <c r="Q31" s="549"/>
      <c r="R31" s="549"/>
      <c r="S31" s="549"/>
      <c r="T31" s="549"/>
      <c r="U31" s="549"/>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49"/>
      <c r="AS31" s="549"/>
      <c r="AT31" s="549"/>
      <c r="AU31" s="549"/>
      <c r="AV31" s="549"/>
      <c r="AW31" s="549"/>
      <c r="AX31" s="549"/>
      <c r="AY31" s="549"/>
      <c r="AZ31" s="549"/>
      <c r="BA31" s="549"/>
      <c r="BB31" s="549"/>
      <c r="BC31" s="549"/>
      <c r="BD31" s="549"/>
      <c r="BE31" s="549"/>
      <c r="BF31" s="549"/>
      <c r="BG31" s="549"/>
      <c r="BH31" s="549"/>
      <c r="BI31" s="549"/>
      <c r="BJ31" s="549"/>
      <c r="BK31" s="549"/>
      <c r="BL31" s="549"/>
      <c r="BM31" s="549"/>
      <c r="BN31" s="549"/>
      <c r="BO31" s="549"/>
      <c r="BP31" s="549"/>
      <c r="BQ31" s="549"/>
      <c r="BR31" s="549"/>
      <c r="BS31" s="549"/>
      <c r="BT31" s="549"/>
      <c r="BU31" s="549"/>
      <c r="BV31" s="549"/>
      <c r="BW31" s="549"/>
      <c r="BX31" s="534"/>
      <c r="BY31" s="534"/>
      <c r="BZ31" s="534"/>
      <c r="CA31" s="534"/>
    </row>
    <row r="32" spans="1:79" ht="15.75" customHeight="1">
      <c r="A32" s="536" t="s">
        <v>545</v>
      </c>
      <c r="B32" s="537" t="s">
        <v>539</v>
      </c>
      <c r="C32" s="538">
        <v>1951</v>
      </c>
      <c r="D32" s="538">
        <v>1952</v>
      </c>
      <c r="E32" s="538">
        <v>1953</v>
      </c>
      <c r="F32" s="538">
        <v>1954</v>
      </c>
      <c r="G32" s="538">
        <v>1955</v>
      </c>
      <c r="H32" s="538">
        <v>1956</v>
      </c>
      <c r="I32" s="538">
        <v>1957</v>
      </c>
      <c r="J32" s="538">
        <v>1958</v>
      </c>
      <c r="K32" s="538">
        <v>1959</v>
      </c>
      <c r="L32" s="538">
        <v>1960</v>
      </c>
      <c r="M32" s="538">
        <v>1961</v>
      </c>
      <c r="N32" s="538">
        <v>1962</v>
      </c>
      <c r="O32" s="538">
        <v>1963</v>
      </c>
      <c r="P32" s="538">
        <v>1964</v>
      </c>
      <c r="Q32" s="538">
        <v>1965</v>
      </c>
      <c r="R32" s="538">
        <v>1966</v>
      </c>
      <c r="S32" s="538">
        <v>1967</v>
      </c>
      <c r="T32" s="538">
        <v>1968</v>
      </c>
      <c r="U32" s="538">
        <v>1969</v>
      </c>
      <c r="V32" s="538">
        <v>1970</v>
      </c>
      <c r="W32" s="538">
        <v>1971</v>
      </c>
      <c r="X32" s="538">
        <v>1972</v>
      </c>
      <c r="Y32" s="538">
        <v>1973</v>
      </c>
      <c r="Z32" s="538">
        <v>1974</v>
      </c>
      <c r="AA32" s="538">
        <v>1975</v>
      </c>
      <c r="AB32" s="538">
        <v>1976</v>
      </c>
      <c r="AC32" s="538">
        <v>1977</v>
      </c>
      <c r="AD32" s="538">
        <v>1978</v>
      </c>
      <c r="AE32" s="538">
        <v>1979</v>
      </c>
      <c r="AF32" s="538">
        <v>1980</v>
      </c>
      <c r="AG32" s="538">
        <v>1981</v>
      </c>
      <c r="AH32" s="538">
        <v>1982</v>
      </c>
      <c r="AI32" s="538">
        <v>1983</v>
      </c>
      <c r="AJ32" s="538">
        <v>1984</v>
      </c>
      <c r="AK32" s="538">
        <v>1985</v>
      </c>
      <c r="AL32" s="538">
        <v>1986</v>
      </c>
      <c r="AM32" s="538">
        <v>1987</v>
      </c>
      <c r="AN32" s="538">
        <v>1988</v>
      </c>
      <c r="AO32" s="538">
        <v>1989</v>
      </c>
      <c r="AP32" s="538">
        <v>1990</v>
      </c>
      <c r="AQ32" s="539">
        <v>1991</v>
      </c>
      <c r="AR32" s="539">
        <v>1992</v>
      </c>
      <c r="AS32" s="539">
        <v>1993</v>
      </c>
      <c r="AT32" s="538">
        <v>1994</v>
      </c>
      <c r="AU32" s="538">
        <v>1995</v>
      </c>
      <c r="AV32" s="538">
        <v>1996</v>
      </c>
      <c r="AW32" s="538">
        <v>1997</v>
      </c>
      <c r="AX32" s="538">
        <v>1998</v>
      </c>
      <c r="AY32" s="538">
        <v>1999</v>
      </c>
      <c r="AZ32" s="538">
        <v>2000</v>
      </c>
      <c r="BA32" s="538">
        <v>2001</v>
      </c>
      <c r="BB32" s="538">
        <v>2002</v>
      </c>
      <c r="BC32" s="538">
        <v>2003</v>
      </c>
      <c r="BD32" s="538">
        <v>2004</v>
      </c>
      <c r="BE32" s="538">
        <v>2005</v>
      </c>
      <c r="BF32" s="538">
        <v>2006</v>
      </c>
      <c r="BG32" s="538">
        <v>2007</v>
      </c>
      <c r="BH32" s="538">
        <v>2008</v>
      </c>
      <c r="BI32" s="539">
        <v>2009</v>
      </c>
      <c r="BJ32" s="539">
        <v>2010</v>
      </c>
      <c r="BK32" s="539">
        <v>2011</v>
      </c>
      <c r="BL32" s="539">
        <v>2012</v>
      </c>
      <c r="BM32" s="539">
        <v>2013</v>
      </c>
      <c r="BN32" s="539">
        <v>2014</v>
      </c>
      <c r="BO32" s="539">
        <v>2015</v>
      </c>
      <c r="BP32" s="539">
        <v>2016</v>
      </c>
      <c r="BQ32" s="539">
        <v>2017</v>
      </c>
      <c r="BR32" s="539">
        <v>2018</v>
      </c>
      <c r="BS32" s="539">
        <v>2019</v>
      </c>
      <c r="BT32" s="539">
        <v>2020</v>
      </c>
      <c r="BU32" s="539">
        <v>2021</v>
      </c>
      <c r="BV32" s="539">
        <v>2022</v>
      </c>
      <c r="BW32" s="539">
        <v>2023</v>
      </c>
      <c r="BX32" s="534"/>
      <c r="BY32" s="534"/>
      <c r="BZ32" s="534"/>
      <c r="CA32" s="534"/>
    </row>
    <row r="33" spans="1:79" ht="15.75" customHeight="1">
      <c r="A33" s="571"/>
      <c r="B33" s="573"/>
      <c r="C33" s="573">
        <v>0</v>
      </c>
      <c r="D33" s="573">
        <v>0</v>
      </c>
      <c r="E33" s="577">
        <v>0</v>
      </c>
      <c r="F33" s="550">
        <f t="shared" ref="F33:BW33" si="27">F30*$B$39*16/12</f>
        <v>0</v>
      </c>
      <c r="G33" s="550">
        <f t="shared" si="27"/>
        <v>8.1681751623455492E-2</v>
      </c>
      <c r="H33" s="550">
        <f t="shared" si="27"/>
        <v>0.15642979658196923</v>
      </c>
      <c r="I33" s="550">
        <f t="shared" si="27"/>
        <v>0.22552924406995981</v>
      </c>
      <c r="J33" s="550">
        <f t="shared" si="27"/>
        <v>0.29006431461089893</v>
      </c>
      <c r="K33" s="550">
        <f t="shared" si="27"/>
        <v>0.3509497430371436</v>
      </c>
      <c r="L33" s="550">
        <f t="shared" si="27"/>
        <v>0.40895727254614606</v>
      </c>
      <c r="M33" s="550">
        <f t="shared" si="27"/>
        <v>0.46473800719751557</v>
      </c>
      <c r="N33" s="550">
        <f t="shared" si="27"/>
        <v>0.51884127026075333</v>
      </c>
      <c r="O33" s="550">
        <f t="shared" si="27"/>
        <v>0.5726690433498598</v>
      </c>
      <c r="P33" s="550">
        <f t="shared" si="27"/>
        <v>0.62651645962022162</v>
      </c>
      <c r="Q33" s="550">
        <f t="shared" si="27"/>
        <v>0.68063251692012827</v>
      </c>
      <c r="R33" s="550">
        <f t="shared" si="27"/>
        <v>0.73522728967639706</v>
      </c>
      <c r="S33" s="550">
        <f t="shared" si="27"/>
        <v>0.79047801341578439</v>
      </c>
      <c r="T33" s="550">
        <f t="shared" si="27"/>
        <v>0.8465342181521075</v>
      </c>
      <c r="U33" s="550">
        <f t="shared" si="27"/>
        <v>0.90352205932068541</v>
      </c>
      <c r="V33" s="550">
        <f t="shared" si="27"/>
        <v>0.96154797169975748</v>
      </c>
      <c r="W33" s="550">
        <f t="shared" si="27"/>
        <v>1.0207017521497612</v>
      </c>
      <c r="X33" s="550">
        <f t="shared" si="27"/>
        <v>1.0810591604578434</v>
      </c>
      <c r="Y33" s="550">
        <f t="shared" si="27"/>
        <v>1.1452284997441866</v>
      </c>
      <c r="Z33" s="550">
        <f t="shared" si="27"/>
        <v>1.2129744080099121</v>
      </c>
      <c r="AA33" s="550">
        <f t="shared" si="27"/>
        <v>1.2840983151173717</v>
      </c>
      <c r="AB33" s="550">
        <f t="shared" si="27"/>
        <v>1.3584326914748992</v>
      </c>
      <c r="AC33" s="550">
        <f t="shared" si="27"/>
        <v>1.4358361957689605</v>
      </c>
      <c r="AD33" s="550">
        <f t="shared" si="27"/>
        <v>1.5161895812043324</v>
      </c>
      <c r="AE33" s="550">
        <f t="shared" si="27"/>
        <v>1.5993922416820918</v>
      </c>
      <c r="AF33" s="550">
        <f t="shared" si="27"/>
        <v>1.6853592978801446</v>
      </c>
      <c r="AG33" s="550">
        <f t="shared" si="27"/>
        <v>1.7740191388385578</v>
      </c>
      <c r="AH33" s="550">
        <f t="shared" si="27"/>
        <v>1.8653113478450367</v>
      </c>
      <c r="AI33" s="550">
        <f t="shared" si="27"/>
        <v>1.9717998497936593</v>
      </c>
      <c r="AJ33" s="550">
        <f t="shared" si="27"/>
        <v>2.0919129102804979</v>
      </c>
      <c r="AK33" s="550">
        <f t="shared" si="27"/>
        <v>2.224324488914911</v>
      </c>
      <c r="AL33" s="550">
        <f t="shared" si="27"/>
        <v>2.3679158323545906</v>
      </c>
      <c r="AM33" s="550">
        <f t="shared" si="27"/>
        <v>2.5217430711293778</v>
      </c>
      <c r="AN33" s="550">
        <f t="shared" si="27"/>
        <v>2.6850098817397066</v>
      </c>
      <c r="AO33" s="550">
        <f t="shared" si="27"/>
        <v>2.8570444222243618</v>
      </c>
      <c r="AP33" s="550">
        <f t="shared" si="27"/>
        <v>3.0372798731674977</v>
      </c>
      <c r="AQ33" s="550">
        <f t="shared" si="27"/>
        <v>3.2252380205415201</v>
      </c>
      <c r="AR33" s="550">
        <f t="shared" si="27"/>
        <v>3.4205154048850983</v>
      </c>
      <c r="AS33" s="550">
        <f t="shared" si="27"/>
        <v>3.6013007155333181</v>
      </c>
      <c r="AT33" s="550">
        <f t="shared" si="27"/>
        <v>3.7700214426912058</v>
      </c>
      <c r="AU33" s="550">
        <f t="shared" si="27"/>
        <v>3.928725610536199</v>
      </c>
      <c r="AV33" s="550">
        <f t="shared" si="27"/>
        <v>4.1368064849451009</v>
      </c>
      <c r="AW33" s="550">
        <f t="shared" si="27"/>
        <v>4.3303003996329021</v>
      </c>
      <c r="AX33" s="550">
        <f t="shared" si="27"/>
        <v>4.5012775386283304</v>
      </c>
      <c r="AY33" s="550">
        <f t="shared" si="27"/>
        <v>4.6532832141535421</v>
      </c>
      <c r="AZ33" s="550">
        <f t="shared" si="27"/>
        <v>4.7893086015019897</v>
      </c>
      <c r="BA33" s="550">
        <f t="shared" si="27"/>
        <v>4.9118773620576297</v>
      </c>
      <c r="BB33" s="550">
        <f t="shared" si="27"/>
        <v>5.0231187253770484</v>
      </c>
      <c r="BC33" s="550">
        <f t="shared" si="27"/>
        <v>5.1355236789495207</v>
      </c>
      <c r="BD33" s="550">
        <f t="shared" si="27"/>
        <v>5.249133564015632</v>
      </c>
      <c r="BE33" s="550">
        <f t="shared" si="27"/>
        <v>5.3639926235435418</v>
      </c>
      <c r="BF33" s="550">
        <f t="shared" si="27"/>
        <v>4.7606970465221305</v>
      </c>
      <c r="BG33" s="550">
        <f t="shared" si="27"/>
        <v>4.2564799631087107</v>
      </c>
      <c r="BH33" s="550">
        <f t="shared" si="27"/>
        <v>3.8449151468190217</v>
      </c>
      <c r="BI33" s="550">
        <f t="shared" si="27"/>
        <v>3.5122433335358281</v>
      </c>
      <c r="BJ33" s="550">
        <f t="shared" si="27"/>
        <v>3.2468908467303659</v>
      </c>
      <c r="BK33" s="550">
        <f t="shared" si="27"/>
        <v>3.0391636033454752</v>
      </c>
      <c r="BL33" s="550">
        <f t="shared" si="27"/>
        <v>3.1360002153991164</v>
      </c>
      <c r="BM33" s="550">
        <f t="shared" si="27"/>
        <v>3.2812097572798611</v>
      </c>
      <c r="BN33" s="550">
        <f t="shared" si="27"/>
        <v>3.4726383810362269</v>
      </c>
      <c r="BO33" s="550">
        <f t="shared" si="27"/>
        <v>3.7088377706631874</v>
      </c>
      <c r="BP33" s="550">
        <f t="shared" si="27"/>
        <v>3.9889723295172357</v>
      </c>
      <c r="BQ33" s="550">
        <f t="shared" si="27"/>
        <v>4.3126064404273938</v>
      </c>
      <c r="BR33" s="550">
        <f t="shared" si="27"/>
        <v>3.638458453705478</v>
      </c>
      <c r="BS33" s="550">
        <f t="shared" si="27"/>
        <v>3.0696934909805691</v>
      </c>
      <c r="BT33" s="550">
        <f t="shared" si="27"/>
        <v>2.5898380450027916</v>
      </c>
      <c r="BU33" s="550">
        <f t="shared" si="27"/>
        <v>2.1849937523245502</v>
      </c>
      <c r="BV33" s="550">
        <f t="shared" si="27"/>
        <v>1.8434348460164702</v>
      </c>
      <c r="BW33" s="550">
        <f t="shared" si="27"/>
        <v>1.5552685347005992</v>
      </c>
      <c r="BX33" s="534"/>
      <c r="BY33" s="534"/>
      <c r="BZ33" s="534"/>
      <c r="CA33" s="534"/>
    </row>
    <row r="34" spans="1:79" ht="15.75" customHeight="1">
      <c r="A34" s="549"/>
      <c r="B34" s="549"/>
      <c r="C34" s="549"/>
      <c r="D34" s="549"/>
      <c r="E34" s="549"/>
      <c r="F34" s="549"/>
      <c r="G34" s="549"/>
      <c r="H34" s="549"/>
      <c r="I34" s="549"/>
      <c r="J34" s="549"/>
      <c r="K34" s="549"/>
      <c r="L34" s="549"/>
      <c r="M34" s="549"/>
      <c r="N34" s="549"/>
      <c r="O34" s="549"/>
      <c r="P34" s="549"/>
      <c r="Q34" s="549"/>
      <c r="R34" s="549"/>
      <c r="S34" s="549"/>
      <c r="T34" s="549"/>
      <c r="U34" s="549"/>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549"/>
      <c r="AU34" s="549"/>
      <c r="AV34" s="549"/>
      <c r="AW34" s="549"/>
      <c r="AX34" s="549"/>
      <c r="AY34" s="549"/>
      <c r="AZ34" s="549"/>
      <c r="BA34" s="549"/>
      <c r="BB34" s="549"/>
      <c r="BC34" s="549"/>
      <c r="BD34" s="549"/>
      <c r="BE34" s="549"/>
      <c r="BF34" s="549"/>
      <c r="BG34" s="549"/>
      <c r="BH34" s="549"/>
      <c r="BI34" s="549"/>
      <c r="BJ34" s="549"/>
      <c r="BK34" s="549"/>
      <c r="BL34" s="549"/>
      <c r="BM34" s="549"/>
      <c r="BN34" s="549"/>
      <c r="BO34" s="549"/>
      <c r="BP34" s="549"/>
      <c r="BQ34" s="549"/>
      <c r="BR34" s="549"/>
      <c r="BS34" s="549"/>
      <c r="BT34" s="549"/>
      <c r="BU34" s="549"/>
      <c r="BV34" s="549"/>
      <c r="BW34" s="549"/>
      <c r="BX34" s="534"/>
      <c r="BY34" s="534"/>
      <c r="BZ34" s="534"/>
      <c r="CA34" s="534"/>
    </row>
    <row r="35" spans="1:79" ht="15.75" customHeight="1">
      <c r="A35" s="746" t="s">
        <v>546</v>
      </c>
      <c r="B35" s="747"/>
      <c r="C35" s="549"/>
      <c r="D35" s="549"/>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549"/>
      <c r="BC35" s="549"/>
      <c r="BD35" s="549"/>
      <c r="BE35" s="549"/>
      <c r="BF35" s="549"/>
      <c r="BG35" s="549"/>
      <c r="BH35" s="549"/>
      <c r="BI35" s="549"/>
      <c r="BJ35" s="549"/>
      <c r="BK35" s="549"/>
      <c r="BL35" s="549"/>
      <c r="BM35" s="549"/>
      <c r="BN35" s="549"/>
      <c r="BO35" s="549"/>
      <c r="BP35" s="549"/>
      <c r="BQ35" s="549"/>
      <c r="BR35" s="549"/>
      <c r="BS35" s="549"/>
      <c r="BT35" s="549"/>
      <c r="BU35" s="534"/>
      <c r="BV35" s="534"/>
      <c r="BW35" s="534"/>
      <c r="BX35" s="534"/>
      <c r="BY35" s="534"/>
      <c r="BZ35" s="534"/>
      <c r="CA35" s="534"/>
    </row>
    <row r="36" spans="1:79" ht="15.75" customHeight="1">
      <c r="A36" s="578" t="s">
        <v>547</v>
      </c>
      <c r="B36" s="579">
        <v>0.5</v>
      </c>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c r="AB36" s="549"/>
      <c r="AC36" s="549"/>
      <c r="AD36" s="549"/>
      <c r="AE36" s="549"/>
      <c r="AF36" s="549"/>
      <c r="AG36" s="549"/>
      <c r="AH36" s="549"/>
      <c r="AI36" s="549"/>
      <c r="AJ36" s="549"/>
      <c r="AK36" s="549"/>
      <c r="AL36" s="549"/>
      <c r="AM36" s="549"/>
      <c r="AN36" s="549"/>
      <c r="AO36" s="549"/>
      <c r="AP36" s="549"/>
      <c r="AQ36" s="549"/>
      <c r="AR36" s="549"/>
      <c r="AS36" s="549"/>
      <c r="AT36" s="549"/>
      <c r="AU36" s="549"/>
      <c r="AV36" s="549"/>
      <c r="AW36" s="549"/>
      <c r="AX36" s="549"/>
      <c r="AY36" s="549"/>
      <c r="AZ36" s="549"/>
      <c r="BA36" s="549"/>
      <c r="BB36" s="549"/>
      <c r="BC36" s="549"/>
      <c r="BD36" s="549"/>
      <c r="BE36" s="549"/>
      <c r="BF36" s="549"/>
      <c r="BG36" s="549"/>
      <c r="BH36" s="549"/>
      <c r="BI36" s="549"/>
      <c r="BJ36" s="549"/>
      <c r="BK36" s="549"/>
      <c r="BL36" s="549"/>
      <c r="BM36" s="549"/>
      <c r="BN36" s="549"/>
      <c r="BO36" s="549"/>
      <c r="BP36" s="549"/>
      <c r="BQ36" s="549"/>
      <c r="BR36" s="549"/>
      <c r="BS36" s="549"/>
      <c r="BT36" s="549"/>
      <c r="BU36" s="534"/>
      <c r="BV36" s="534"/>
      <c r="BW36" s="534"/>
      <c r="BX36" s="534"/>
      <c r="BY36" s="534"/>
      <c r="BZ36" s="534"/>
      <c r="CA36" s="534"/>
    </row>
    <row r="37" spans="1:79" ht="15.75" customHeight="1">
      <c r="A37" s="580" t="s">
        <v>548</v>
      </c>
      <c r="B37" s="579">
        <v>0.4</v>
      </c>
      <c r="C37" s="549"/>
      <c r="D37" s="549"/>
      <c r="E37" s="549"/>
      <c r="F37" s="549"/>
      <c r="G37" s="549"/>
      <c r="H37" s="549"/>
      <c r="I37" s="549"/>
      <c r="J37" s="549"/>
      <c r="K37" s="549"/>
      <c r="L37" s="549"/>
      <c r="M37" s="549"/>
      <c r="N37" s="549"/>
      <c r="O37" s="549"/>
      <c r="P37" s="549"/>
      <c r="Q37" s="549"/>
      <c r="R37" s="549"/>
      <c r="S37" s="549"/>
      <c r="T37" s="549"/>
      <c r="U37" s="549"/>
      <c r="V37" s="549"/>
      <c r="W37" s="549"/>
      <c r="X37" s="549"/>
      <c r="Y37" s="549"/>
      <c r="Z37" s="549"/>
      <c r="AA37" s="549"/>
      <c r="AB37" s="549"/>
      <c r="AC37" s="549"/>
      <c r="AD37" s="549"/>
      <c r="AE37" s="549"/>
      <c r="AF37" s="549"/>
      <c r="AG37" s="549"/>
      <c r="AH37" s="549"/>
      <c r="AI37" s="549"/>
      <c r="AJ37" s="549"/>
      <c r="AK37" s="549"/>
      <c r="AL37" s="549"/>
      <c r="AM37" s="549"/>
      <c r="AN37" s="549"/>
      <c r="AO37" s="549"/>
      <c r="AP37" s="549"/>
      <c r="AQ37" s="549"/>
      <c r="AR37" s="549"/>
      <c r="AS37" s="549"/>
      <c r="AT37" s="549"/>
      <c r="AU37" s="549"/>
      <c r="AV37" s="549"/>
      <c r="AW37" s="549"/>
      <c r="AX37" s="549"/>
      <c r="AY37" s="549"/>
      <c r="AZ37" s="549"/>
      <c r="BA37" s="549"/>
      <c r="BB37" s="549"/>
      <c r="BC37" s="549"/>
      <c r="BD37" s="549"/>
      <c r="BE37" s="549"/>
      <c r="BF37" s="549"/>
      <c r="BG37" s="549"/>
      <c r="BH37" s="549"/>
      <c r="BI37" s="549"/>
      <c r="BJ37" s="549"/>
      <c r="BK37" s="549"/>
      <c r="BL37" s="549"/>
      <c r="BM37" s="549"/>
      <c r="BN37" s="549"/>
      <c r="BO37" s="549"/>
      <c r="BP37" s="549"/>
      <c r="BQ37" s="549"/>
      <c r="BR37" s="549"/>
      <c r="BS37" s="549"/>
      <c r="BT37" s="549"/>
      <c r="BU37" s="534"/>
      <c r="BV37" s="534"/>
      <c r="BW37" s="534"/>
      <c r="BX37" s="534"/>
      <c r="BY37" s="534"/>
      <c r="BZ37" s="534"/>
      <c r="CA37" s="534"/>
    </row>
    <row r="38" spans="1:79" ht="15.75" customHeight="1">
      <c r="A38" s="580" t="s">
        <v>549</v>
      </c>
      <c r="B38" s="581">
        <v>0.8436796874386</v>
      </c>
      <c r="C38" s="549"/>
      <c r="D38" s="549"/>
      <c r="E38" s="549"/>
      <c r="F38" s="549"/>
      <c r="G38" s="549"/>
      <c r="H38" s="549"/>
      <c r="I38" s="549"/>
      <c r="J38" s="549"/>
      <c r="K38" s="549"/>
      <c r="L38" s="549"/>
      <c r="M38" s="549"/>
      <c r="N38" s="549"/>
      <c r="O38" s="549"/>
      <c r="P38" s="549"/>
      <c r="Q38" s="549"/>
      <c r="R38" s="549"/>
      <c r="S38" s="549"/>
      <c r="T38" s="549"/>
      <c r="U38" s="549"/>
      <c r="V38" s="549"/>
      <c r="W38" s="549"/>
      <c r="X38" s="549"/>
      <c r="Y38" s="549"/>
      <c r="Z38" s="549"/>
      <c r="AA38" s="549"/>
      <c r="AB38" s="549"/>
      <c r="AC38" s="549"/>
      <c r="AD38" s="549"/>
      <c r="AE38" s="549"/>
      <c r="AF38" s="549"/>
      <c r="AG38" s="549"/>
      <c r="AH38" s="549"/>
      <c r="AI38" s="549"/>
      <c r="AJ38" s="549"/>
      <c r="AK38" s="549"/>
      <c r="AL38" s="549"/>
      <c r="AM38" s="549"/>
      <c r="AN38" s="549"/>
      <c r="AO38" s="549"/>
      <c r="AP38" s="549"/>
      <c r="AQ38" s="549"/>
      <c r="AR38" s="549"/>
      <c r="AS38" s="549"/>
      <c r="AT38" s="549"/>
      <c r="AU38" s="549"/>
      <c r="AV38" s="549"/>
      <c r="AW38" s="549"/>
      <c r="AX38" s="549"/>
      <c r="AY38" s="549"/>
      <c r="AZ38" s="549"/>
      <c r="BA38" s="549"/>
      <c r="BB38" s="549"/>
      <c r="BC38" s="549"/>
      <c r="BD38" s="549"/>
      <c r="BE38" s="549"/>
      <c r="BF38" s="549"/>
      <c r="BG38" s="549"/>
      <c r="BH38" s="549"/>
      <c r="BI38" s="549"/>
      <c r="BJ38" s="549"/>
      <c r="BK38" s="549"/>
      <c r="BL38" s="549"/>
      <c r="BM38" s="549"/>
      <c r="BN38" s="549"/>
      <c r="BO38" s="549"/>
      <c r="BP38" s="549"/>
      <c r="BQ38" s="549"/>
      <c r="BR38" s="549"/>
      <c r="BS38" s="549"/>
      <c r="BT38" s="549"/>
      <c r="BU38" s="534"/>
      <c r="BV38" s="534"/>
      <c r="BW38" s="534"/>
      <c r="BX38" s="534"/>
      <c r="BY38" s="534"/>
      <c r="BZ38" s="534"/>
      <c r="CA38" s="534"/>
    </row>
    <row r="39" spans="1:79" ht="15.75" customHeight="1">
      <c r="A39" s="580" t="s">
        <v>550</v>
      </c>
      <c r="B39" s="579">
        <v>0.5</v>
      </c>
      <c r="C39" s="549"/>
      <c r="D39" s="549"/>
      <c r="E39" s="549"/>
      <c r="F39" s="549"/>
      <c r="G39" s="549"/>
      <c r="H39" s="549"/>
      <c r="I39" s="549"/>
      <c r="J39" s="549"/>
      <c r="K39" s="549"/>
      <c r="L39" s="549"/>
      <c r="M39" s="549"/>
      <c r="N39" s="549"/>
      <c r="O39" s="549"/>
      <c r="P39" s="549"/>
      <c r="Q39" s="549"/>
      <c r="R39" s="549"/>
      <c r="S39" s="549"/>
      <c r="T39" s="549"/>
      <c r="U39" s="549"/>
      <c r="V39" s="549"/>
      <c r="W39" s="549"/>
      <c r="X39" s="549"/>
      <c r="Y39" s="549"/>
      <c r="Z39" s="549"/>
      <c r="AA39" s="549"/>
      <c r="AB39" s="549"/>
      <c r="AC39" s="549"/>
      <c r="AD39" s="549"/>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549"/>
      <c r="BB39" s="549"/>
      <c r="BC39" s="549"/>
      <c r="BD39" s="549"/>
      <c r="BE39" s="549"/>
      <c r="BF39" s="549"/>
      <c r="BG39" s="549"/>
      <c r="BH39" s="549"/>
      <c r="BI39" s="549"/>
      <c r="BJ39" s="549"/>
      <c r="BK39" s="549"/>
      <c r="BL39" s="549"/>
      <c r="BM39" s="549"/>
      <c r="BN39" s="549"/>
      <c r="BO39" s="549"/>
      <c r="BP39" s="549"/>
      <c r="BQ39" s="549"/>
      <c r="BR39" s="549"/>
      <c r="BS39" s="549"/>
      <c r="BT39" s="549"/>
      <c r="BU39" s="534"/>
      <c r="BV39" s="534"/>
      <c r="BW39" s="534"/>
      <c r="BX39" s="534"/>
      <c r="BY39" s="534"/>
      <c r="BZ39" s="534"/>
      <c r="CA39" s="534"/>
    </row>
    <row r="40" spans="1:79" ht="15.75" customHeight="1">
      <c r="A40" s="580" t="s">
        <v>551</v>
      </c>
      <c r="B40" s="579">
        <v>0</v>
      </c>
      <c r="C40" s="549"/>
      <c r="D40" s="549"/>
      <c r="E40" s="549"/>
      <c r="F40" s="549"/>
      <c r="G40" s="549"/>
      <c r="H40" s="549"/>
      <c r="I40" s="549"/>
      <c r="J40" s="549"/>
      <c r="K40" s="549"/>
      <c r="L40" s="549"/>
      <c r="M40" s="549"/>
      <c r="N40" s="549"/>
      <c r="O40" s="549"/>
      <c r="P40" s="549"/>
      <c r="Q40" s="549"/>
      <c r="R40" s="549"/>
      <c r="S40" s="549"/>
      <c r="T40" s="549"/>
      <c r="U40" s="549"/>
      <c r="V40" s="549"/>
      <c r="W40" s="549"/>
      <c r="X40" s="549"/>
      <c r="Y40" s="549"/>
      <c r="Z40" s="549"/>
      <c r="AA40" s="549"/>
      <c r="AB40" s="549"/>
      <c r="AC40" s="549"/>
      <c r="AD40" s="549"/>
      <c r="AE40" s="549"/>
      <c r="AF40" s="549"/>
      <c r="AG40" s="549"/>
      <c r="AH40" s="549"/>
      <c r="AI40" s="549"/>
      <c r="AJ40" s="549"/>
      <c r="AK40" s="549"/>
      <c r="AL40" s="549"/>
      <c r="AM40" s="549"/>
      <c r="AN40" s="549"/>
      <c r="AO40" s="549"/>
      <c r="AP40" s="549"/>
      <c r="AQ40" s="549"/>
      <c r="AR40" s="549"/>
      <c r="AS40" s="549"/>
      <c r="AT40" s="549"/>
      <c r="AU40" s="549"/>
      <c r="AV40" s="549"/>
      <c r="AW40" s="549"/>
      <c r="AX40" s="549"/>
      <c r="AY40" s="549"/>
      <c r="AZ40" s="549"/>
      <c r="BA40" s="549"/>
      <c r="BB40" s="549"/>
      <c r="BC40" s="549"/>
      <c r="BD40" s="549"/>
      <c r="BE40" s="549"/>
      <c r="BF40" s="549"/>
      <c r="BG40" s="549"/>
      <c r="BH40" s="549"/>
      <c r="BI40" s="549"/>
      <c r="BJ40" s="549"/>
      <c r="BK40" s="549"/>
      <c r="BL40" s="549"/>
      <c r="BM40" s="549"/>
      <c r="BN40" s="549"/>
      <c r="BO40" s="549"/>
      <c r="BP40" s="549"/>
      <c r="BQ40" s="549"/>
      <c r="BR40" s="549"/>
      <c r="BS40" s="549"/>
      <c r="BT40" s="549"/>
      <c r="BU40" s="534"/>
      <c r="BV40" s="534"/>
      <c r="BW40" s="534"/>
      <c r="BX40" s="534"/>
      <c r="BY40" s="534"/>
      <c r="BZ40" s="534"/>
      <c r="CA40" s="534"/>
    </row>
    <row r="41" spans="1:79" ht="15.75" customHeight="1">
      <c r="A41" s="558" t="s">
        <v>552</v>
      </c>
      <c r="B41" s="582">
        <v>0</v>
      </c>
      <c r="C41" s="549"/>
      <c r="D41" s="549"/>
      <c r="E41" s="549"/>
      <c r="F41" s="549"/>
      <c r="G41" s="549"/>
      <c r="H41" s="549"/>
      <c r="I41" s="549"/>
      <c r="J41" s="549"/>
      <c r="K41" s="549"/>
      <c r="L41" s="549"/>
      <c r="M41" s="549"/>
      <c r="N41" s="549"/>
      <c r="O41" s="549"/>
      <c r="P41" s="549"/>
      <c r="Q41" s="549"/>
      <c r="R41" s="549"/>
      <c r="S41" s="549"/>
      <c r="T41" s="549"/>
      <c r="U41" s="549"/>
      <c r="V41" s="549"/>
      <c r="W41" s="549"/>
      <c r="X41" s="549"/>
      <c r="Y41" s="549"/>
      <c r="Z41" s="549"/>
      <c r="AA41" s="549"/>
      <c r="AB41" s="549"/>
      <c r="AC41" s="549"/>
      <c r="AD41" s="549"/>
      <c r="AE41" s="549"/>
      <c r="AF41" s="549"/>
      <c r="AG41" s="549"/>
      <c r="AH41" s="549"/>
      <c r="AI41" s="549"/>
      <c r="AJ41" s="549"/>
      <c r="AK41" s="549"/>
      <c r="AL41" s="549"/>
      <c r="AM41" s="549"/>
      <c r="AN41" s="549"/>
      <c r="AO41" s="549"/>
      <c r="AP41" s="549"/>
      <c r="AQ41" s="549"/>
      <c r="AR41" s="549"/>
      <c r="AS41" s="549"/>
      <c r="AT41" s="549"/>
      <c r="AU41" s="549"/>
      <c r="AV41" s="549"/>
      <c r="AW41" s="549"/>
      <c r="AX41" s="549"/>
      <c r="AY41" s="549"/>
      <c r="AZ41" s="549"/>
      <c r="BA41" s="549"/>
      <c r="BB41" s="549"/>
      <c r="BC41" s="549"/>
      <c r="BD41" s="549"/>
      <c r="BE41" s="549"/>
      <c r="BF41" s="549"/>
      <c r="BG41" s="549"/>
      <c r="BH41" s="549"/>
      <c r="BI41" s="549"/>
      <c r="BJ41" s="549"/>
      <c r="BK41" s="549"/>
      <c r="BL41" s="549"/>
      <c r="BM41" s="549"/>
      <c r="BN41" s="549"/>
      <c r="BO41" s="549"/>
      <c r="BP41" s="549"/>
      <c r="BQ41" s="549"/>
      <c r="BR41" s="549"/>
      <c r="BS41" s="549"/>
      <c r="BT41" s="549"/>
      <c r="BU41" s="534"/>
      <c r="BV41" s="534"/>
      <c r="BW41" s="534"/>
      <c r="BX41" s="534"/>
      <c r="BY41" s="534"/>
      <c r="BZ41" s="534"/>
      <c r="CA41" s="534"/>
    </row>
    <row r="42" spans="1:79" ht="15.75" customHeight="1">
      <c r="A42" s="583"/>
      <c r="B42" s="534"/>
      <c r="C42" s="549"/>
      <c r="D42" s="549"/>
      <c r="E42" s="549"/>
      <c r="F42" s="549"/>
      <c r="G42" s="549"/>
      <c r="H42" s="549"/>
      <c r="I42" s="549"/>
      <c r="J42" s="549"/>
      <c r="K42" s="549"/>
      <c r="L42" s="549"/>
      <c r="M42" s="549"/>
      <c r="N42" s="549"/>
      <c r="O42" s="549"/>
      <c r="P42" s="549"/>
      <c r="Q42" s="549"/>
      <c r="R42" s="549"/>
      <c r="S42" s="549"/>
      <c r="T42" s="549"/>
      <c r="U42" s="549"/>
      <c r="V42" s="549"/>
      <c r="W42" s="549"/>
      <c r="X42" s="549"/>
      <c r="Y42" s="549"/>
      <c r="Z42" s="549"/>
      <c r="AA42" s="549"/>
      <c r="AB42" s="549"/>
      <c r="AC42" s="549"/>
      <c r="AD42" s="549"/>
      <c r="AE42" s="549"/>
      <c r="AF42" s="549"/>
      <c r="AG42" s="549"/>
      <c r="AH42" s="549"/>
      <c r="AI42" s="549"/>
      <c r="AJ42" s="549"/>
      <c r="AK42" s="549"/>
      <c r="AL42" s="549"/>
      <c r="AM42" s="549"/>
      <c r="AN42" s="549"/>
      <c r="AO42" s="549"/>
      <c r="AP42" s="549"/>
      <c r="AQ42" s="549"/>
      <c r="AR42" s="549"/>
      <c r="AS42" s="549"/>
      <c r="AT42" s="549"/>
      <c r="AU42" s="549"/>
      <c r="AV42" s="549"/>
      <c r="AW42" s="549"/>
      <c r="AX42" s="549"/>
      <c r="AY42" s="549"/>
      <c r="AZ42" s="549"/>
      <c r="BA42" s="549"/>
      <c r="BB42" s="549"/>
      <c r="BC42" s="549"/>
      <c r="BD42" s="549"/>
      <c r="BE42" s="549"/>
      <c r="BF42" s="549"/>
      <c r="BG42" s="549"/>
      <c r="BH42" s="549"/>
      <c r="BI42" s="549"/>
      <c r="BJ42" s="549"/>
      <c r="BK42" s="549"/>
      <c r="BL42" s="549"/>
      <c r="BM42" s="549"/>
      <c r="BN42" s="549"/>
      <c r="BO42" s="549"/>
      <c r="BP42" s="549"/>
      <c r="BQ42" s="549"/>
      <c r="BR42" s="549"/>
      <c r="BS42" s="549"/>
      <c r="BT42" s="549"/>
      <c r="BU42" s="534"/>
      <c r="BV42" s="534"/>
      <c r="BW42" s="534"/>
      <c r="BX42" s="534"/>
      <c r="BY42" s="534"/>
      <c r="BZ42" s="534"/>
      <c r="CA42" s="534"/>
    </row>
    <row r="43" spans="1:79" ht="15.75" customHeight="1">
      <c r="A43" s="748" t="s">
        <v>553</v>
      </c>
      <c r="B43" s="747"/>
      <c r="C43" s="549"/>
      <c r="D43" s="549"/>
      <c r="E43" s="549"/>
      <c r="F43" s="549"/>
      <c r="G43" s="549"/>
      <c r="H43" s="549"/>
      <c r="I43" s="549"/>
      <c r="J43" s="549"/>
      <c r="K43" s="549"/>
      <c r="L43" s="549"/>
      <c r="M43" s="549"/>
      <c r="N43" s="549"/>
      <c r="O43" s="549"/>
      <c r="P43" s="549"/>
      <c r="Q43" s="549"/>
      <c r="R43" s="549"/>
      <c r="S43" s="549"/>
      <c r="T43" s="549"/>
      <c r="U43" s="549"/>
      <c r="V43" s="549"/>
      <c r="W43" s="549"/>
      <c r="X43" s="549"/>
      <c r="Y43" s="549"/>
      <c r="Z43" s="549"/>
      <c r="AA43" s="549"/>
      <c r="AB43" s="549"/>
      <c r="AC43" s="549"/>
      <c r="AD43" s="549"/>
      <c r="AE43" s="549"/>
      <c r="AF43" s="549"/>
      <c r="AG43" s="549"/>
      <c r="AH43" s="549"/>
      <c r="AI43" s="549"/>
      <c r="AJ43" s="549"/>
      <c r="AK43" s="549"/>
      <c r="AL43" s="549"/>
      <c r="AM43" s="549"/>
      <c r="AN43" s="549"/>
      <c r="AO43" s="549"/>
      <c r="AP43" s="549"/>
      <c r="AQ43" s="549"/>
      <c r="AR43" s="549"/>
      <c r="AS43" s="549"/>
      <c r="AT43" s="549"/>
      <c r="AU43" s="549"/>
      <c r="AV43" s="549"/>
      <c r="AW43" s="549"/>
      <c r="AX43" s="549"/>
      <c r="AY43" s="549"/>
      <c r="AZ43" s="549"/>
      <c r="BA43" s="549"/>
      <c r="BB43" s="549"/>
      <c r="BC43" s="549"/>
      <c r="BD43" s="549"/>
      <c r="BE43" s="549"/>
      <c r="BF43" s="549"/>
      <c r="BG43" s="549"/>
      <c r="BH43" s="549"/>
      <c r="BI43" s="549"/>
      <c r="BJ43" s="549"/>
      <c r="BK43" s="549"/>
      <c r="BL43" s="549"/>
      <c r="BM43" s="549"/>
      <c r="BN43" s="549"/>
      <c r="BO43" s="549"/>
      <c r="BP43" s="549"/>
      <c r="BQ43" s="549"/>
      <c r="BR43" s="549"/>
      <c r="BS43" s="549"/>
      <c r="BT43" s="549"/>
      <c r="BU43" s="534"/>
      <c r="BV43" s="534"/>
      <c r="BW43" s="534"/>
      <c r="BX43" s="534"/>
      <c r="BY43" s="534"/>
      <c r="BZ43" s="534"/>
      <c r="CA43" s="534"/>
    </row>
    <row r="44" spans="1:79" ht="15.75" customHeight="1">
      <c r="A44" s="584" t="s">
        <v>554</v>
      </c>
      <c r="B44" s="585">
        <f>DOC!I7</f>
        <v>8.7612000000000009E-2</v>
      </c>
      <c r="C44" s="549"/>
      <c r="D44" s="549"/>
      <c r="E44" s="549"/>
      <c r="F44" s="549"/>
      <c r="G44" s="549"/>
      <c r="H44" s="549"/>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549"/>
      <c r="AK44" s="549"/>
      <c r="AL44" s="549"/>
      <c r="AM44" s="549"/>
      <c r="AN44" s="549"/>
      <c r="AO44" s="549"/>
      <c r="AP44" s="549"/>
      <c r="AQ44" s="549"/>
      <c r="AR44" s="549"/>
      <c r="AS44" s="549"/>
      <c r="AT44" s="549"/>
      <c r="AU44" s="549"/>
      <c r="AV44" s="549"/>
      <c r="AW44" s="549"/>
      <c r="AX44" s="549"/>
      <c r="AY44" s="549"/>
      <c r="AZ44" s="549"/>
      <c r="BA44" s="549"/>
      <c r="BB44" s="549"/>
      <c r="BC44" s="549"/>
      <c r="BD44" s="549"/>
      <c r="BE44" s="549"/>
      <c r="BF44" s="549"/>
      <c r="BG44" s="549"/>
      <c r="BH44" s="549"/>
      <c r="BI44" s="549"/>
      <c r="BJ44" s="549"/>
      <c r="BK44" s="549"/>
      <c r="BL44" s="549"/>
      <c r="BM44" s="549"/>
      <c r="BN44" s="549"/>
      <c r="BO44" s="549"/>
      <c r="BP44" s="549"/>
      <c r="BQ44" s="549"/>
      <c r="BR44" s="549"/>
      <c r="BS44" s="549"/>
      <c r="BT44" s="549"/>
      <c r="BU44" s="534"/>
      <c r="BV44" s="534"/>
      <c r="BW44" s="534"/>
      <c r="BX44" s="534"/>
      <c r="BY44" s="534"/>
      <c r="BZ44" s="534"/>
      <c r="CA44" s="534"/>
    </row>
    <row r="45" spans="1:79" ht="15.75" customHeight="1">
      <c r="A45" s="586" t="s">
        <v>555</v>
      </c>
      <c r="B45" s="581">
        <f>DOC!P7</f>
        <v>9.4219999999999998E-2</v>
      </c>
      <c r="C45" s="549"/>
      <c r="D45" s="549"/>
      <c r="E45" s="549"/>
      <c r="F45" s="549"/>
      <c r="G45" s="549"/>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549"/>
      <c r="AK45" s="549"/>
      <c r="AL45" s="549"/>
      <c r="AM45" s="549"/>
      <c r="AN45" s="549"/>
      <c r="AO45" s="549"/>
      <c r="AP45" s="549"/>
      <c r="AQ45" s="549"/>
      <c r="AR45" s="549"/>
      <c r="AS45" s="549"/>
      <c r="AT45" s="549"/>
      <c r="AU45" s="549"/>
      <c r="AV45" s="549"/>
      <c r="AW45" s="549"/>
      <c r="AX45" s="549"/>
      <c r="AY45" s="549"/>
      <c r="AZ45" s="549"/>
      <c r="BA45" s="549"/>
      <c r="BB45" s="549"/>
      <c r="BC45" s="549"/>
      <c r="BD45" s="549"/>
      <c r="BE45" s="549"/>
      <c r="BF45" s="549"/>
      <c r="BG45" s="549"/>
      <c r="BH45" s="549"/>
      <c r="BI45" s="549"/>
      <c r="BJ45" s="549"/>
      <c r="BK45" s="549"/>
      <c r="BL45" s="549"/>
      <c r="BM45" s="549"/>
      <c r="BN45" s="549"/>
      <c r="BO45" s="549"/>
      <c r="BP45" s="549"/>
      <c r="BQ45" s="549"/>
      <c r="BR45" s="549"/>
      <c r="BS45" s="549"/>
      <c r="BT45" s="549"/>
      <c r="BU45" s="534"/>
      <c r="BV45" s="534"/>
      <c r="BW45" s="534"/>
      <c r="BX45" s="534"/>
      <c r="BY45" s="534"/>
      <c r="BZ45" s="534"/>
      <c r="CA45" s="534"/>
    </row>
    <row r="46" spans="1:79" ht="15.75" customHeight="1">
      <c r="A46" s="587" t="s">
        <v>556</v>
      </c>
      <c r="B46" s="588">
        <f>DOC!X7</f>
        <v>0.12898100000000001</v>
      </c>
      <c r="C46" s="549"/>
      <c r="D46" s="549"/>
      <c r="E46" s="549"/>
      <c r="F46" s="549"/>
      <c r="G46" s="549"/>
      <c r="H46" s="549"/>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49"/>
      <c r="AM46" s="549"/>
      <c r="AN46" s="549"/>
      <c r="AO46" s="549"/>
      <c r="AP46" s="549"/>
      <c r="AQ46" s="549"/>
      <c r="AR46" s="549"/>
      <c r="AS46" s="549"/>
      <c r="AT46" s="549"/>
      <c r="AU46" s="549"/>
      <c r="AV46" s="549"/>
      <c r="AW46" s="549"/>
      <c r="AX46" s="549"/>
      <c r="AY46" s="549"/>
      <c r="AZ46" s="549"/>
      <c r="BA46" s="549"/>
      <c r="BB46" s="549"/>
      <c r="BC46" s="549"/>
      <c r="BD46" s="549"/>
      <c r="BE46" s="549"/>
      <c r="BF46" s="549"/>
      <c r="BG46" s="549"/>
      <c r="BH46" s="549"/>
      <c r="BI46" s="549"/>
      <c r="BJ46" s="549"/>
      <c r="BK46" s="549"/>
      <c r="BL46" s="549"/>
      <c r="BM46" s="549"/>
      <c r="BN46" s="549"/>
      <c r="BO46" s="549"/>
      <c r="BP46" s="549"/>
      <c r="BQ46" s="549"/>
      <c r="BR46" s="549"/>
      <c r="BS46" s="549"/>
      <c r="BT46" s="549"/>
      <c r="BU46" s="534"/>
      <c r="BV46" s="534"/>
      <c r="BW46" s="534"/>
      <c r="BX46" s="534"/>
      <c r="BY46" s="534"/>
      <c r="BZ46" s="534"/>
      <c r="CA46" s="534"/>
    </row>
    <row r="47" spans="1:79" ht="15.75" customHeight="1">
      <c r="A47" s="589"/>
      <c r="B47" s="534"/>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49"/>
      <c r="AM47" s="549"/>
      <c r="AN47" s="549"/>
      <c r="AO47" s="549"/>
      <c r="AP47" s="549"/>
      <c r="AQ47" s="549"/>
      <c r="AR47" s="549"/>
      <c r="AS47" s="549"/>
      <c r="AT47" s="549"/>
      <c r="AU47" s="549"/>
      <c r="AV47" s="549"/>
      <c r="AW47" s="549"/>
      <c r="AX47" s="549"/>
      <c r="AY47" s="549"/>
      <c r="AZ47" s="549"/>
      <c r="BA47" s="549"/>
      <c r="BB47" s="549"/>
      <c r="BC47" s="549"/>
      <c r="BD47" s="549"/>
      <c r="BE47" s="549"/>
      <c r="BF47" s="549"/>
      <c r="BG47" s="549"/>
      <c r="BH47" s="549"/>
      <c r="BI47" s="549"/>
      <c r="BJ47" s="549"/>
      <c r="BK47" s="549"/>
      <c r="BL47" s="549"/>
      <c r="BM47" s="549"/>
      <c r="BN47" s="549"/>
      <c r="BO47" s="549"/>
      <c r="BP47" s="549"/>
      <c r="BQ47" s="549"/>
      <c r="BR47" s="549"/>
      <c r="BS47" s="549"/>
      <c r="BT47" s="549"/>
      <c r="BU47" s="534"/>
      <c r="BV47" s="534"/>
      <c r="BW47" s="534"/>
      <c r="BX47" s="534"/>
      <c r="BY47" s="534"/>
      <c r="BZ47" s="534"/>
      <c r="CA47" s="534"/>
    </row>
    <row r="48" spans="1:79" ht="15.75" customHeight="1">
      <c r="A48" s="590"/>
      <c r="B48" s="534"/>
      <c r="C48" s="549"/>
      <c r="D48" s="549"/>
      <c r="E48" s="549"/>
      <c r="F48" s="549"/>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49"/>
      <c r="AM48" s="549"/>
      <c r="AN48" s="549"/>
      <c r="AO48" s="549"/>
      <c r="AP48" s="549"/>
      <c r="AQ48" s="549"/>
      <c r="AR48" s="549"/>
      <c r="AS48" s="549"/>
      <c r="AT48" s="549"/>
      <c r="AU48" s="549"/>
      <c r="AV48" s="549"/>
      <c r="AW48" s="549"/>
      <c r="AX48" s="549"/>
      <c r="AY48" s="549"/>
      <c r="AZ48" s="549"/>
      <c r="BA48" s="549"/>
      <c r="BB48" s="549"/>
      <c r="BC48" s="549"/>
      <c r="BD48" s="549"/>
      <c r="BE48" s="549"/>
      <c r="BF48" s="549"/>
      <c r="BG48" s="549"/>
      <c r="BH48" s="549"/>
      <c r="BI48" s="549"/>
      <c r="BJ48" s="549"/>
      <c r="BK48" s="549"/>
      <c r="BL48" s="549"/>
      <c r="BM48" s="549"/>
      <c r="BN48" s="549"/>
      <c r="BO48" s="549"/>
      <c r="BP48" s="549"/>
      <c r="BQ48" s="549"/>
      <c r="BR48" s="549"/>
      <c r="BS48" s="549"/>
      <c r="BT48" s="549"/>
      <c r="BU48" s="534"/>
      <c r="BV48" s="534"/>
      <c r="BW48" s="534"/>
      <c r="BX48" s="534"/>
      <c r="BY48" s="534"/>
      <c r="BZ48" s="534"/>
      <c r="CA48" s="534"/>
    </row>
    <row r="49" spans="1:79" ht="15.75" customHeight="1">
      <c r="A49" s="591"/>
      <c r="B49" s="541"/>
      <c r="C49" s="549"/>
      <c r="D49" s="549"/>
      <c r="E49" s="549"/>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c r="BB49" s="549"/>
      <c r="BC49" s="549"/>
      <c r="BD49" s="549"/>
      <c r="BE49" s="549"/>
      <c r="BF49" s="549"/>
      <c r="BG49" s="549"/>
      <c r="BH49" s="549"/>
      <c r="BI49" s="549"/>
      <c r="BJ49" s="549"/>
      <c r="BK49" s="549"/>
      <c r="BL49" s="549"/>
      <c r="BM49" s="549"/>
      <c r="BN49" s="549"/>
      <c r="BO49" s="549"/>
      <c r="BP49" s="549"/>
      <c r="BQ49" s="549"/>
      <c r="BR49" s="549"/>
      <c r="BS49" s="549"/>
      <c r="BT49" s="549"/>
      <c r="BU49" s="534"/>
      <c r="BV49" s="534"/>
      <c r="BW49" s="534"/>
      <c r="BX49" s="534"/>
      <c r="BY49" s="534"/>
      <c r="BZ49" s="534"/>
      <c r="CA49" s="534"/>
    </row>
    <row r="50" spans="1:79" ht="15.75" customHeight="1">
      <c r="A50" s="549"/>
      <c r="B50" s="541"/>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49"/>
      <c r="AA50" s="549"/>
      <c r="AB50" s="549"/>
      <c r="AC50" s="549"/>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c r="BQ50" s="549"/>
      <c r="BR50" s="549"/>
      <c r="BS50" s="549"/>
      <c r="BT50" s="549"/>
      <c r="BU50" s="534"/>
      <c r="BV50" s="534"/>
      <c r="BW50" s="534"/>
      <c r="BX50" s="534"/>
      <c r="BY50" s="534"/>
      <c r="BZ50" s="534"/>
      <c r="CA50" s="534"/>
    </row>
    <row r="51" spans="1:79" ht="15.75" customHeight="1">
      <c r="A51" s="551" t="s">
        <v>557</v>
      </c>
      <c r="B51" s="552" t="s">
        <v>558</v>
      </c>
      <c r="C51" s="592">
        <v>1951</v>
      </c>
      <c r="D51" s="554">
        <v>1952</v>
      </c>
      <c r="E51" s="554">
        <v>1953</v>
      </c>
      <c r="F51" s="554">
        <v>1954</v>
      </c>
      <c r="G51" s="554">
        <v>1955</v>
      </c>
      <c r="H51" s="554">
        <v>1956</v>
      </c>
      <c r="I51" s="554">
        <v>1957</v>
      </c>
      <c r="J51" s="554">
        <v>1958</v>
      </c>
      <c r="K51" s="554">
        <v>1959</v>
      </c>
      <c r="L51" s="554">
        <v>1960</v>
      </c>
      <c r="M51" s="554">
        <v>1961</v>
      </c>
      <c r="N51" s="554">
        <v>1962</v>
      </c>
      <c r="O51" s="554">
        <v>1963</v>
      </c>
      <c r="P51" s="554">
        <v>1964</v>
      </c>
      <c r="Q51" s="554">
        <v>1965</v>
      </c>
      <c r="R51" s="554">
        <v>1966</v>
      </c>
      <c r="S51" s="554">
        <v>1967</v>
      </c>
      <c r="T51" s="554">
        <v>1968</v>
      </c>
      <c r="U51" s="554">
        <v>1969</v>
      </c>
      <c r="V51" s="554">
        <v>1970</v>
      </c>
      <c r="W51" s="554">
        <v>1971</v>
      </c>
      <c r="X51" s="554">
        <v>1972</v>
      </c>
      <c r="Y51" s="554">
        <v>1973</v>
      </c>
      <c r="Z51" s="554">
        <v>1974</v>
      </c>
      <c r="AA51" s="554">
        <v>1975</v>
      </c>
      <c r="AB51" s="554">
        <v>1976</v>
      </c>
      <c r="AC51" s="554">
        <v>1977</v>
      </c>
      <c r="AD51" s="554">
        <v>1978</v>
      </c>
      <c r="AE51" s="554">
        <v>1979</v>
      </c>
      <c r="AF51" s="554">
        <v>1980</v>
      </c>
      <c r="AG51" s="553">
        <v>1981</v>
      </c>
      <c r="AH51" s="554">
        <v>1982</v>
      </c>
      <c r="AI51" s="554">
        <v>1983</v>
      </c>
      <c r="AJ51" s="554">
        <v>1984</v>
      </c>
      <c r="AK51" s="554">
        <v>1985</v>
      </c>
      <c r="AL51" s="554">
        <v>1986</v>
      </c>
      <c r="AM51" s="554">
        <v>1987</v>
      </c>
      <c r="AN51" s="554">
        <v>1988</v>
      </c>
      <c r="AO51" s="554">
        <v>1989</v>
      </c>
      <c r="AP51" s="554">
        <v>1990</v>
      </c>
      <c r="AQ51" s="555">
        <v>1991</v>
      </c>
      <c r="AR51" s="555">
        <v>1992</v>
      </c>
      <c r="AS51" s="555">
        <v>1993</v>
      </c>
      <c r="AT51" s="553">
        <v>1994</v>
      </c>
      <c r="AU51" s="554">
        <v>1995</v>
      </c>
      <c r="AV51" s="554">
        <v>1996</v>
      </c>
      <c r="AW51" s="554">
        <v>1997</v>
      </c>
      <c r="AX51" s="554">
        <v>1998</v>
      </c>
      <c r="AY51" s="554">
        <v>1999</v>
      </c>
      <c r="AZ51" s="554">
        <v>2000</v>
      </c>
      <c r="BA51" s="554">
        <v>2001</v>
      </c>
      <c r="BB51" s="554">
        <v>2002</v>
      </c>
      <c r="BC51" s="554">
        <v>2003</v>
      </c>
      <c r="BD51" s="554">
        <v>2004</v>
      </c>
      <c r="BE51" s="554">
        <v>2005</v>
      </c>
      <c r="BF51" s="554">
        <v>2006</v>
      </c>
      <c r="BG51" s="554">
        <v>2007</v>
      </c>
      <c r="BH51" s="556">
        <v>2008</v>
      </c>
      <c r="BI51" s="540">
        <v>2009</v>
      </c>
      <c r="BJ51" s="555">
        <v>2010</v>
      </c>
      <c r="BK51" s="555">
        <v>2011</v>
      </c>
      <c r="BL51" s="555">
        <v>2012</v>
      </c>
      <c r="BM51" s="555">
        <v>2013</v>
      </c>
      <c r="BN51" s="555">
        <v>2014</v>
      </c>
      <c r="BO51" s="555">
        <v>2015</v>
      </c>
      <c r="BP51" s="555">
        <v>2016</v>
      </c>
      <c r="BQ51" s="555">
        <v>2017</v>
      </c>
      <c r="BR51" s="555">
        <v>2018</v>
      </c>
      <c r="BS51" s="555">
        <v>2019</v>
      </c>
      <c r="BT51" s="555">
        <v>2020</v>
      </c>
      <c r="BU51" s="557">
        <v>2021</v>
      </c>
      <c r="BV51" s="557">
        <v>2022</v>
      </c>
      <c r="BW51" s="557">
        <v>2023</v>
      </c>
      <c r="BX51" s="534"/>
      <c r="BY51" s="534"/>
      <c r="BZ51" s="534"/>
      <c r="CA51" s="534"/>
    </row>
    <row r="52" spans="1:79" ht="15.75" customHeight="1">
      <c r="A52" s="593"/>
      <c r="B52" s="594"/>
      <c r="C52" s="595">
        <v>0</v>
      </c>
      <c r="D52" s="596">
        <v>0</v>
      </c>
      <c r="E52" s="596">
        <v>0</v>
      </c>
      <c r="F52" s="596">
        <v>0</v>
      </c>
      <c r="G52" s="596">
        <f t="shared" ref="G52:BW52" si="28">(G33-$B$40)*(1-$B$41)*10^3</f>
        <v>81.681751623455497</v>
      </c>
      <c r="H52" s="596">
        <f t="shared" si="28"/>
        <v>156.42979658196924</v>
      </c>
      <c r="I52" s="596">
        <f t="shared" si="28"/>
        <v>225.52924406995982</v>
      </c>
      <c r="J52" s="596">
        <f t="shared" si="28"/>
        <v>290.06431461089892</v>
      </c>
      <c r="K52" s="596">
        <f t="shared" si="28"/>
        <v>350.94974303714361</v>
      </c>
      <c r="L52" s="596">
        <f t="shared" si="28"/>
        <v>408.95727254614604</v>
      </c>
      <c r="M52" s="596">
        <f t="shared" si="28"/>
        <v>464.73800719751557</v>
      </c>
      <c r="N52" s="596">
        <f t="shared" si="28"/>
        <v>518.84127026075328</v>
      </c>
      <c r="O52" s="596">
        <f t="shared" si="28"/>
        <v>572.66904334985975</v>
      </c>
      <c r="P52" s="596">
        <f t="shared" si="28"/>
        <v>626.51645962022167</v>
      </c>
      <c r="Q52" s="596">
        <f t="shared" si="28"/>
        <v>680.6325169201283</v>
      </c>
      <c r="R52" s="596">
        <f t="shared" si="28"/>
        <v>735.22728967639705</v>
      </c>
      <c r="S52" s="596">
        <f t="shared" si="28"/>
        <v>790.4780134157844</v>
      </c>
      <c r="T52" s="596">
        <f t="shared" si="28"/>
        <v>846.53421815210754</v>
      </c>
      <c r="U52" s="596">
        <f t="shared" si="28"/>
        <v>903.52205932068546</v>
      </c>
      <c r="V52" s="596">
        <f t="shared" si="28"/>
        <v>961.54797169975745</v>
      </c>
      <c r="W52" s="596">
        <f t="shared" si="28"/>
        <v>1020.7017521497612</v>
      </c>
      <c r="X52" s="596">
        <f t="shared" si="28"/>
        <v>1081.0591604578435</v>
      </c>
      <c r="Y52" s="596">
        <f t="shared" si="28"/>
        <v>1145.2284997441866</v>
      </c>
      <c r="Z52" s="596">
        <f t="shared" si="28"/>
        <v>1212.9744080099122</v>
      </c>
      <c r="AA52" s="596">
        <f t="shared" si="28"/>
        <v>1284.0983151173716</v>
      </c>
      <c r="AB52" s="596">
        <f t="shared" si="28"/>
        <v>1358.4326914748992</v>
      </c>
      <c r="AC52" s="596">
        <f t="shared" si="28"/>
        <v>1435.8361957689606</v>
      </c>
      <c r="AD52" s="596">
        <f t="shared" si="28"/>
        <v>1516.1895812043324</v>
      </c>
      <c r="AE52" s="596">
        <f t="shared" si="28"/>
        <v>1599.3922416820917</v>
      </c>
      <c r="AF52" s="596">
        <f t="shared" si="28"/>
        <v>1685.3592978801446</v>
      </c>
      <c r="AG52" s="596">
        <f t="shared" si="28"/>
        <v>1774.0191388385579</v>
      </c>
      <c r="AH52" s="596">
        <f t="shared" si="28"/>
        <v>1865.3113478450366</v>
      </c>
      <c r="AI52" s="596">
        <f t="shared" si="28"/>
        <v>1971.7998497936594</v>
      </c>
      <c r="AJ52" s="596">
        <f t="shared" si="28"/>
        <v>2091.9129102804977</v>
      </c>
      <c r="AK52" s="596">
        <f t="shared" si="28"/>
        <v>2224.3244889149109</v>
      </c>
      <c r="AL52" s="596">
        <f t="shared" si="28"/>
        <v>2367.9158323545907</v>
      </c>
      <c r="AM52" s="596">
        <f t="shared" si="28"/>
        <v>2521.7430711293778</v>
      </c>
      <c r="AN52" s="596">
        <f t="shared" si="28"/>
        <v>2685.0098817397065</v>
      </c>
      <c r="AO52" s="596">
        <f t="shared" si="28"/>
        <v>2857.0444222243618</v>
      </c>
      <c r="AP52" s="596">
        <f t="shared" si="28"/>
        <v>3037.2798731674975</v>
      </c>
      <c r="AQ52" s="596">
        <f t="shared" si="28"/>
        <v>3225.2380205415202</v>
      </c>
      <c r="AR52" s="596">
        <f t="shared" si="28"/>
        <v>3420.5154048850982</v>
      </c>
      <c r="AS52" s="596">
        <f t="shared" si="28"/>
        <v>3601.300715533318</v>
      </c>
      <c r="AT52" s="596">
        <f t="shared" si="28"/>
        <v>3770.0214426912057</v>
      </c>
      <c r="AU52" s="596">
        <f t="shared" si="28"/>
        <v>3928.7256105361989</v>
      </c>
      <c r="AV52" s="596">
        <f t="shared" si="28"/>
        <v>4136.8064849451011</v>
      </c>
      <c r="AW52" s="596">
        <f t="shared" si="28"/>
        <v>4330.3003996329026</v>
      </c>
      <c r="AX52" s="596">
        <f t="shared" si="28"/>
        <v>4501.2775386283301</v>
      </c>
      <c r="AY52" s="596">
        <f t="shared" si="28"/>
        <v>4653.2832141535418</v>
      </c>
      <c r="AZ52" s="596">
        <f t="shared" si="28"/>
        <v>4789.3086015019899</v>
      </c>
      <c r="BA52" s="596">
        <f t="shared" si="28"/>
        <v>4911.8773620576294</v>
      </c>
      <c r="BB52" s="596">
        <f t="shared" si="28"/>
        <v>5023.1187253770486</v>
      </c>
      <c r="BC52" s="596">
        <f t="shared" si="28"/>
        <v>5135.5236789495202</v>
      </c>
      <c r="BD52" s="596">
        <f t="shared" si="28"/>
        <v>5249.1335640156321</v>
      </c>
      <c r="BE52" s="597">
        <f t="shared" si="28"/>
        <v>5363.9926235435414</v>
      </c>
      <c r="BF52" s="597">
        <f t="shared" si="28"/>
        <v>4760.6970465221302</v>
      </c>
      <c r="BG52" s="597">
        <f t="shared" si="28"/>
        <v>4256.4799631087108</v>
      </c>
      <c r="BH52" s="597">
        <f t="shared" si="28"/>
        <v>3844.9151468190216</v>
      </c>
      <c r="BI52" s="597">
        <f t="shared" si="28"/>
        <v>3512.2433335358282</v>
      </c>
      <c r="BJ52" s="597">
        <f t="shared" si="28"/>
        <v>3246.8908467303659</v>
      </c>
      <c r="BK52" s="597">
        <f t="shared" si="28"/>
        <v>3039.1636033454752</v>
      </c>
      <c r="BL52" s="597">
        <f t="shared" si="28"/>
        <v>3136.0002153991163</v>
      </c>
      <c r="BM52" s="597">
        <f t="shared" si="28"/>
        <v>3281.2097572798612</v>
      </c>
      <c r="BN52" s="597">
        <f t="shared" si="28"/>
        <v>3472.6383810362267</v>
      </c>
      <c r="BO52" s="597">
        <f t="shared" si="28"/>
        <v>3708.8377706631873</v>
      </c>
      <c r="BP52" s="597">
        <f t="shared" si="28"/>
        <v>3988.9723295172357</v>
      </c>
      <c r="BQ52" s="597">
        <f t="shared" si="28"/>
        <v>4312.6064404273939</v>
      </c>
      <c r="BR52" s="597">
        <f t="shared" si="28"/>
        <v>3638.458453705478</v>
      </c>
      <c r="BS52" s="597">
        <f t="shared" si="28"/>
        <v>3069.6934909805691</v>
      </c>
      <c r="BT52" s="597">
        <f t="shared" si="28"/>
        <v>2589.8380450027917</v>
      </c>
      <c r="BU52" s="598">
        <f t="shared" si="28"/>
        <v>2184.9937523245503</v>
      </c>
      <c r="BV52" s="598">
        <f t="shared" si="28"/>
        <v>1843.4348460164701</v>
      </c>
      <c r="BW52" s="598">
        <f t="shared" si="28"/>
        <v>1555.2685347005993</v>
      </c>
      <c r="BX52" s="534"/>
      <c r="BY52" s="534"/>
      <c r="BZ52" s="534"/>
      <c r="CA52" s="534"/>
    </row>
    <row r="53" spans="1:79" ht="15.75" customHeight="1">
      <c r="A53" s="599"/>
      <c r="B53" s="541"/>
      <c r="C53" s="534"/>
      <c r="D53" s="534"/>
      <c r="E53" s="534"/>
      <c r="F53" s="534"/>
      <c r="G53" s="534"/>
      <c r="H53" s="534"/>
      <c r="I53" s="534"/>
      <c r="J53" s="534"/>
      <c r="K53" s="534"/>
      <c r="L53" s="534"/>
      <c r="M53" s="534"/>
      <c r="N53" s="534"/>
      <c r="O53" s="534"/>
      <c r="P53" s="534"/>
      <c r="Q53" s="534"/>
      <c r="R53" s="534"/>
      <c r="S53" s="534"/>
      <c r="T53" s="534"/>
      <c r="U53" s="534"/>
      <c r="V53" s="534"/>
      <c r="W53" s="534"/>
      <c r="X53" s="534"/>
      <c r="Y53" s="534"/>
      <c r="Z53" s="534"/>
      <c r="AA53" s="534"/>
      <c r="AB53" s="534"/>
      <c r="AC53" s="534"/>
      <c r="AD53" s="534"/>
      <c r="AE53" s="534"/>
      <c r="AF53" s="534"/>
      <c r="AG53" s="534"/>
      <c r="AH53" s="534"/>
      <c r="AI53" s="534"/>
      <c r="AJ53" s="534"/>
      <c r="AK53" s="534"/>
      <c r="AL53" s="534"/>
      <c r="AM53" s="534"/>
      <c r="AN53" s="534"/>
      <c r="AO53" s="534"/>
      <c r="AP53" s="534"/>
      <c r="AQ53" s="534"/>
      <c r="AR53" s="534"/>
      <c r="AS53" s="534"/>
      <c r="AT53" s="534"/>
      <c r="AU53" s="534"/>
      <c r="AV53" s="534"/>
      <c r="AW53" s="534"/>
      <c r="AX53" s="534"/>
      <c r="AY53" s="534"/>
      <c r="AZ53" s="534"/>
      <c r="BA53" s="534"/>
      <c r="BB53" s="534"/>
      <c r="BC53" s="534"/>
      <c r="BD53" s="534"/>
      <c r="BE53" s="534"/>
      <c r="BF53" s="534"/>
      <c r="BG53" s="534"/>
      <c r="BH53" s="534"/>
      <c r="BI53" s="534"/>
      <c r="BJ53" s="534"/>
      <c r="BK53" s="534"/>
      <c r="BL53" s="534"/>
      <c r="BM53" s="534"/>
      <c r="BN53" s="534"/>
      <c r="BO53" s="534"/>
      <c r="BP53" s="534"/>
      <c r="BQ53" s="534"/>
      <c r="BR53" s="534"/>
      <c r="BS53" s="534"/>
      <c r="BT53" s="534"/>
      <c r="BU53" s="534"/>
      <c r="BV53" s="534"/>
      <c r="BW53" s="534"/>
      <c r="BX53" s="534"/>
      <c r="BY53" s="534"/>
      <c r="BZ53" s="534"/>
      <c r="CA53" s="534"/>
    </row>
    <row r="54" spans="1:79" ht="15.75" customHeight="1">
      <c r="A54" s="599"/>
      <c r="B54" s="541"/>
      <c r="C54" s="534"/>
      <c r="D54" s="534"/>
      <c r="E54" s="534"/>
      <c r="F54" s="534"/>
      <c r="G54" s="534"/>
      <c r="H54" s="534"/>
      <c r="I54" s="600"/>
      <c r="J54" s="534"/>
      <c r="K54" s="534"/>
      <c r="L54" s="534"/>
      <c r="M54" s="534"/>
      <c r="N54" s="534"/>
      <c r="O54" s="534"/>
      <c r="P54" s="534"/>
      <c r="Q54" s="534"/>
      <c r="R54" s="534"/>
      <c r="S54" s="534"/>
      <c r="T54" s="534"/>
      <c r="U54" s="534"/>
      <c r="V54" s="534"/>
      <c r="W54" s="534"/>
      <c r="X54" s="534"/>
      <c r="Y54" s="534"/>
      <c r="Z54" s="534"/>
      <c r="AA54" s="534"/>
      <c r="AB54" s="534"/>
      <c r="AC54" s="534"/>
      <c r="AD54" s="534"/>
      <c r="AE54" s="534"/>
      <c r="AF54" s="534"/>
      <c r="AG54" s="534"/>
      <c r="AH54" s="534"/>
      <c r="AI54" s="534"/>
      <c r="AJ54" s="534"/>
      <c r="AK54" s="534"/>
      <c r="AL54" s="534"/>
      <c r="AM54" s="534"/>
      <c r="AN54" s="534"/>
      <c r="AO54" s="534"/>
      <c r="AP54" s="534"/>
      <c r="AQ54" s="534"/>
      <c r="AR54" s="534"/>
      <c r="AS54" s="534"/>
      <c r="AT54" s="534"/>
      <c r="AU54" s="534"/>
      <c r="AV54" s="534"/>
      <c r="AW54" s="534"/>
      <c r="AX54" s="534"/>
      <c r="AY54" s="534"/>
      <c r="AZ54" s="534"/>
      <c r="BA54" s="534"/>
      <c r="BB54" s="534"/>
      <c r="BC54" s="534"/>
      <c r="BD54" s="534"/>
      <c r="BE54" s="534"/>
      <c r="BF54" s="534"/>
      <c r="BG54" s="534"/>
      <c r="BH54" s="534"/>
      <c r="BI54" s="534"/>
      <c r="BJ54" s="534"/>
      <c r="BK54" s="534"/>
      <c r="BL54" s="534"/>
      <c r="BM54" s="534"/>
      <c r="BN54" s="534"/>
      <c r="BO54" s="534"/>
      <c r="BP54" s="534"/>
      <c r="BQ54" s="534"/>
      <c r="BR54" s="534"/>
      <c r="BS54" s="534"/>
      <c r="BT54" s="534"/>
      <c r="BU54" s="534"/>
      <c r="BV54" s="534"/>
      <c r="BW54" s="534"/>
      <c r="BX54" s="534"/>
      <c r="BY54" s="534"/>
      <c r="BZ54" s="534"/>
      <c r="CA54" s="534"/>
    </row>
    <row r="55" spans="1:79" ht="15.75" customHeight="1">
      <c r="A55" s="601" t="s">
        <v>559</v>
      </c>
      <c r="B55" s="541"/>
      <c r="C55" s="534"/>
      <c r="D55" s="534"/>
      <c r="E55" s="534"/>
      <c r="F55" s="534"/>
      <c r="G55" s="534"/>
      <c r="H55" s="534"/>
      <c r="I55" s="534"/>
      <c r="J55" s="534"/>
      <c r="K55" s="534"/>
      <c r="L55" s="534"/>
      <c r="M55" s="534"/>
      <c r="N55" s="534"/>
      <c r="O55" s="534"/>
      <c r="P55" s="534"/>
      <c r="Q55" s="534"/>
      <c r="R55" s="534"/>
      <c r="S55" s="534"/>
      <c r="T55" s="534"/>
      <c r="U55" s="534"/>
      <c r="V55" s="534"/>
      <c r="W55" s="534"/>
      <c r="X55" s="534"/>
      <c r="Y55" s="534"/>
      <c r="Z55" s="534"/>
      <c r="AA55" s="534"/>
      <c r="AB55" s="534"/>
      <c r="AC55" s="534"/>
      <c r="AD55" s="534"/>
      <c r="AE55" s="534"/>
      <c r="AF55" s="534"/>
      <c r="AG55" s="534"/>
      <c r="AH55" s="534"/>
      <c r="AI55" s="534"/>
      <c r="AJ55" s="534"/>
      <c r="AK55" s="534"/>
      <c r="AL55" s="534"/>
      <c r="AM55" s="534"/>
      <c r="AN55" s="534"/>
      <c r="AO55" s="534"/>
      <c r="AP55" s="534"/>
      <c r="AQ55" s="534"/>
      <c r="AR55" s="534"/>
      <c r="AS55" s="534"/>
      <c r="AT55" s="534"/>
      <c r="AU55" s="534"/>
      <c r="AV55" s="534"/>
      <c r="AW55" s="534"/>
      <c r="AX55" s="534"/>
      <c r="AY55" s="534"/>
      <c r="AZ55" s="534"/>
      <c r="BA55" s="534"/>
      <c r="BB55" s="534"/>
      <c r="BC55" s="534"/>
      <c r="BD55" s="534"/>
      <c r="BE55" s="534"/>
      <c r="BF55" s="534"/>
      <c r="BG55" s="534"/>
      <c r="BH55" s="534"/>
      <c r="BI55" s="534"/>
      <c r="BJ55" s="534"/>
      <c r="BK55" s="534"/>
      <c r="BL55" s="534"/>
      <c r="BM55" s="534"/>
      <c r="BN55" s="534"/>
      <c r="BO55" s="534"/>
      <c r="BP55" s="559"/>
      <c r="BQ55" s="559"/>
      <c r="BR55" s="534"/>
      <c r="BS55" s="534"/>
      <c r="BT55" s="534"/>
      <c r="BU55" s="534"/>
      <c r="BV55" s="534"/>
      <c r="BW55" s="534"/>
      <c r="BX55" s="534"/>
      <c r="BY55" s="534"/>
      <c r="BZ55" s="534"/>
      <c r="CA55" s="534"/>
    </row>
    <row r="56" spans="1:79" ht="15.75" customHeight="1">
      <c r="A56" s="602" t="s">
        <v>560</v>
      </c>
      <c r="B56" s="603" t="s">
        <v>561</v>
      </c>
      <c r="C56" s="604">
        <v>1951</v>
      </c>
      <c r="D56" s="605">
        <v>1952</v>
      </c>
      <c r="E56" s="605">
        <v>1953</v>
      </c>
      <c r="F56" s="605">
        <v>1954</v>
      </c>
      <c r="G56" s="605">
        <v>1955</v>
      </c>
      <c r="H56" s="605">
        <v>1956</v>
      </c>
      <c r="I56" s="605">
        <v>1957</v>
      </c>
      <c r="J56" s="605">
        <v>1958</v>
      </c>
      <c r="K56" s="605">
        <v>1959</v>
      </c>
      <c r="L56" s="605">
        <v>1960</v>
      </c>
      <c r="M56" s="605">
        <v>1961</v>
      </c>
      <c r="N56" s="605">
        <v>1962</v>
      </c>
      <c r="O56" s="605">
        <v>1963</v>
      </c>
      <c r="P56" s="605">
        <v>1964</v>
      </c>
      <c r="Q56" s="605">
        <v>1965</v>
      </c>
      <c r="R56" s="605">
        <v>1966</v>
      </c>
      <c r="S56" s="605">
        <v>1967</v>
      </c>
      <c r="T56" s="605">
        <v>1968</v>
      </c>
      <c r="U56" s="605">
        <v>1969</v>
      </c>
      <c r="V56" s="605">
        <v>1970</v>
      </c>
      <c r="W56" s="605">
        <v>1971</v>
      </c>
      <c r="X56" s="605">
        <v>1972</v>
      </c>
      <c r="Y56" s="605">
        <v>1973</v>
      </c>
      <c r="Z56" s="605">
        <v>1974</v>
      </c>
      <c r="AA56" s="605">
        <v>1975</v>
      </c>
      <c r="AB56" s="605">
        <v>1976</v>
      </c>
      <c r="AC56" s="605">
        <v>1977</v>
      </c>
      <c r="AD56" s="605">
        <v>1978</v>
      </c>
      <c r="AE56" s="605">
        <v>1979</v>
      </c>
      <c r="AF56" s="605">
        <v>1980</v>
      </c>
      <c r="AG56" s="606">
        <v>1981</v>
      </c>
      <c r="AH56" s="605">
        <v>1982</v>
      </c>
      <c r="AI56" s="605">
        <v>1983</v>
      </c>
      <c r="AJ56" s="605">
        <v>1984</v>
      </c>
      <c r="AK56" s="605">
        <v>1985</v>
      </c>
      <c r="AL56" s="605">
        <v>1986</v>
      </c>
      <c r="AM56" s="605">
        <v>1987</v>
      </c>
      <c r="AN56" s="605">
        <v>1988</v>
      </c>
      <c r="AO56" s="605">
        <v>1989</v>
      </c>
      <c r="AP56" s="605">
        <v>1990</v>
      </c>
      <c r="AQ56" s="607">
        <v>1991</v>
      </c>
      <c r="AR56" s="607">
        <v>1992</v>
      </c>
      <c r="AS56" s="607">
        <v>1993</v>
      </c>
      <c r="AT56" s="606">
        <v>1994</v>
      </c>
      <c r="AU56" s="605">
        <v>1995</v>
      </c>
      <c r="AV56" s="605">
        <v>1996</v>
      </c>
      <c r="AW56" s="605">
        <v>1997</v>
      </c>
      <c r="AX56" s="605">
        <v>1998</v>
      </c>
      <c r="AY56" s="605">
        <v>1999</v>
      </c>
      <c r="AZ56" s="605">
        <v>2000</v>
      </c>
      <c r="BA56" s="605">
        <v>2001</v>
      </c>
      <c r="BB56" s="605">
        <v>2002</v>
      </c>
      <c r="BC56" s="605">
        <v>2003</v>
      </c>
      <c r="BD56" s="605">
        <v>2004</v>
      </c>
      <c r="BE56" s="605">
        <v>2005</v>
      </c>
      <c r="BF56" s="605">
        <v>2006</v>
      </c>
      <c r="BG56" s="605">
        <v>2007</v>
      </c>
      <c r="BH56" s="608">
        <v>2008</v>
      </c>
      <c r="BI56" s="609">
        <v>2009</v>
      </c>
      <c r="BJ56" s="607">
        <v>2010</v>
      </c>
      <c r="BK56" s="607">
        <v>2011</v>
      </c>
      <c r="BL56" s="607">
        <v>2012</v>
      </c>
      <c r="BM56" s="607">
        <v>2013</v>
      </c>
      <c r="BN56" s="607">
        <v>2014</v>
      </c>
      <c r="BO56" s="607">
        <v>2015</v>
      </c>
      <c r="BP56" s="607">
        <v>2016</v>
      </c>
      <c r="BQ56" s="607">
        <v>2017</v>
      </c>
      <c r="BR56" s="607">
        <v>2018</v>
      </c>
      <c r="BS56" s="607">
        <v>2019</v>
      </c>
      <c r="BT56" s="607">
        <v>2020</v>
      </c>
      <c r="BU56" s="610">
        <v>2021</v>
      </c>
      <c r="BV56" s="610">
        <v>2022</v>
      </c>
      <c r="BW56" s="610">
        <v>2023</v>
      </c>
      <c r="BX56" s="534"/>
      <c r="BY56" s="534"/>
      <c r="BZ56" s="534"/>
      <c r="CA56" s="534"/>
    </row>
    <row r="57" spans="1:79" ht="15.75" customHeight="1">
      <c r="A57" s="611"/>
      <c r="B57" s="594"/>
      <c r="C57" s="612">
        <v>0</v>
      </c>
      <c r="D57" s="559">
        <v>0</v>
      </c>
      <c r="E57" s="559">
        <v>0</v>
      </c>
      <c r="F57" s="559">
        <v>0</v>
      </c>
      <c r="G57" s="596">
        <f t="shared" ref="G57:BW57" si="29">G52*21</f>
        <v>1715.3167840925655</v>
      </c>
      <c r="H57" s="596">
        <f t="shared" si="29"/>
        <v>3285.0257282213543</v>
      </c>
      <c r="I57" s="596">
        <f t="shared" si="29"/>
        <v>4736.1141254691565</v>
      </c>
      <c r="J57" s="596">
        <f t="shared" si="29"/>
        <v>6091.3506068288771</v>
      </c>
      <c r="K57" s="596">
        <f t="shared" si="29"/>
        <v>7369.9446037800153</v>
      </c>
      <c r="L57" s="596">
        <f t="shared" si="29"/>
        <v>8588.1027234690664</v>
      </c>
      <c r="M57" s="596">
        <f t="shared" si="29"/>
        <v>9759.4981511478272</v>
      </c>
      <c r="N57" s="596">
        <f t="shared" si="29"/>
        <v>10895.666675475819</v>
      </c>
      <c r="O57" s="596">
        <f t="shared" si="29"/>
        <v>12026.049910347054</v>
      </c>
      <c r="P57" s="596">
        <f t="shared" si="29"/>
        <v>13156.845652024655</v>
      </c>
      <c r="Q57" s="596">
        <f t="shared" si="29"/>
        <v>14293.282855322694</v>
      </c>
      <c r="R57" s="596">
        <f t="shared" si="29"/>
        <v>15439.773083204338</v>
      </c>
      <c r="S57" s="596">
        <f t="shared" si="29"/>
        <v>16600.038281731471</v>
      </c>
      <c r="T57" s="596">
        <f t="shared" si="29"/>
        <v>17777.218581194258</v>
      </c>
      <c r="U57" s="596">
        <f t="shared" si="29"/>
        <v>18973.963245734394</v>
      </c>
      <c r="V57" s="596">
        <f t="shared" si="29"/>
        <v>20192.507405694905</v>
      </c>
      <c r="W57" s="596">
        <f t="shared" si="29"/>
        <v>21434.736795144985</v>
      </c>
      <c r="X57" s="596">
        <f t="shared" si="29"/>
        <v>22702.242369614713</v>
      </c>
      <c r="Y57" s="596">
        <f t="shared" si="29"/>
        <v>24049.798494627918</v>
      </c>
      <c r="Z57" s="596">
        <f t="shared" si="29"/>
        <v>25472.462568208157</v>
      </c>
      <c r="AA57" s="596">
        <f t="shared" si="29"/>
        <v>26966.064617464803</v>
      </c>
      <c r="AB57" s="596">
        <f t="shared" si="29"/>
        <v>28527.086520972884</v>
      </c>
      <c r="AC57" s="596">
        <f t="shared" si="29"/>
        <v>30152.560111148174</v>
      </c>
      <c r="AD57" s="596">
        <f t="shared" si="29"/>
        <v>31839.98120529098</v>
      </c>
      <c r="AE57" s="596">
        <f t="shared" si="29"/>
        <v>33587.237075323923</v>
      </c>
      <c r="AF57" s="596">
        <f t="shared" si="29"/>
        <v>35392.545255483034</v>
      </c>
      <c r="AG57" s="596">
        <f t="shared" si="29"/>
        <v>37254.401915609713</v>
      </c>
      <c r="AH57" s="596">
        <f t="shared" si="29"/>
        <v>39171.538304745765</v>
      </c>
      <c r="AI57" s="596">
        <f t="shared" si="29"/>
        <v>41407.796845666846</v>
      </c>
      <c r="AJ57" s="596">
        <f t="shared" si="29"/>
        <v>43930.171115890451</v>
      </c>
      <c r="AK57" s="596">
        <f t="shared" si="29"/>
        <v>46710.814267213129</v>
      </c>
      <c r="AL57" s="596">
        <f t="shared" si="29"/>
        <v>49726.232479446408</v>
      </c>
      <c r="AM57" s="596">
        <f t="shared" si="29"/>
        <v>52956.604493716935</v>
      </c>
      <c r="AN57" s="596">
        <f t="shared" si="29"/>
        <v>56385.207516533839</v>
      </c>
      <c r="AO57" s="596">
        <f t="shared" si="29"/>
        <v>59997.932866711599</v>
      </c>
      <c r="AP57" s="596">
        <f t="shared" si="29"/>
        <v>63782.877336517449</v>
      </c>
      <c r="AQ57" s="596">
        <f t="shared" si="29"/>
        <v>67729.998431371918</v>
      </c>
      <c r="AR57" s="596">
        <f t="shared" si="29"/>
        <v>71830.823502587067</v>
      </c>
      <c r="AS57" s="596">
        <f t="shared" si="29"/>
        <v>75627.315026199678</v>
      </c>
      <c r="AT57" s="596">
        <f t="shared" si="29"/>
        <v>79170.450296515322</v>
      </c>
      <c r="AU57" s="596">
        <f t="shared" si="29"/>
        <v>82503.237821260176</v>
      </c>
      <c r="AV57" s="596">
        <f t="shared" si="29"/>
        <v>86872.936183847123</v>
      </c>
      <c r="AW57" s="596">
        <f t="shared" si="29"/>
        <v>90936.308392290957</v>
      </c>
      <c r="AX57" s="596">
        <f t="shared" si="29"/>
        <v>94526.828311194928</v>
      </c>
      <c r="AY57" s="596">
        <f t="shared" si="29"/>
        <v>97718.947497224377</v>
      </c>
      <c r="AZ57" s="596">
        <f t="shared" si="29"/>
        <v>100575.48063154178</v>
      </c>
      <c r="BA57" s="596">
        <f t="shared" si="29"/>
        <v>103149.42460321022</v>
      </c>
      <c r="BB57" s="596">
        <f t="shared" si="29"/>
        <v>105485.49323291802</v>
      </c>
      <c r="BC57" s="596">
        <f t="shared" si="29"/>
        <v>107845.99725793992</v>
      </c>
      <c r="BD57" s="596">
        <f t="shared" si="29"/>
        <v>110231.80484432828</v>
      </c>
      <c r="BE57" s="613">
        <f t="shared" si="29"/>
        <v>112643.84509441437</v>
      </c>
      <c r="BF57" s="613">
        <f t="shared" si="29"/>
        <v>99974.637976964732</v>
      </c>
      <c r="BG57" s="613">
        <f t="shared" si="29"/>
        <v>89386.079225282927</v>
      </c>
      <c r="BH57" s="613">
        <f t="shared" si="29"/>
        <v>80743.218083199448</v>
      </c>
      <c r="BI57" s="613">
        <f t="shared" si="29"/>
        <v>73757.11000425239</v>
      </c>
      <c r="BJ57" s="613">
        <f t="shared" si="29"/>
        <v>68184.707781337682</v>
      </c>
      <c r="BK57" s="613">
        <f t="shared" si="29"/>
        <v>63822.435670254978</v>
      </c>
      <c r="BL57" s="613">
        <f t="shared" si="29"/>
        <v>65856.004523381445</v>
      </c>
      <c r="BM57" s="613">
        <f t="shared" si="29"/>
        <v>68905.404902877082</v>
      </c>
      <c r="BN57" s="613">
        <f t="shared" si="29"/>
        <v>72925.406001760755</v>
      </c>
      <c r="BO57" s="613">
        <f t="shared" si="29"/>
        <v>77885.593183926932</v>
      </c>
      <c r="BP57" s="613">
        <f t="shared" si="29"/>
        <v>83768.418919861957</v>
      </c>
      <c r="BQ57" s="613">
        <f t="shared" si="29"/>
        <v>90564.735248975267</v>
      </c>
      <c r="BR57" s="613">
        <f t="shared" si="29"/>
        <v>76407.627527815042</v>
      </c>
      <c r="BS57" s="613">
        <f t="shared" si="29"/>
        <v>64463.563310591948</v>
      </c>
      <c r="BT57" s="613">
        <f t="shared" si="29"/>
        <v>54386.598945058628</v>
      </c>
      <c r="BU57" s="588">
        <f t="shared" si="29"/>
        <v>45884.868798815558</v>
      </c>
      <c r="BV57" s="588">
        <f t="shared" si="29"/>
        <v>38712.131766345876</v>
      </c>
      <c r="BW57" s="588">
        <f t="shared" si="29"/>
        <v>32660.639228712585</v>
      </c>
      <c r="BX57" s="570"/>
      <c r="BY57" s="570"/>
      <c r="BZ57" s="570"/>
      <c r="CA57" s="570"/>
    </row>
    <row r="58" spans="1:79" ht="15.75" customHeight="1">
      <c r="A58" s="614"/>
      <c r="B58" s="549"/>
      <c r="C58" s="549"/>
      <c r="D58" s="549"/>
      <c r="E58" s="549"/>
      <c r="F58" s="549"/>
      <c r="G58" s="549"/>
      <c r="H58" s="549"/>
      <c r="I58" s="549"/>
      <c r="J58" s="549"/>
      <c r="K58" s="549"/>
      <c r="L58" s="549"/>
      <c r="M58" s="549"/>
      <c r="N58" s="549"/>
      <c r="O58" s="549"/>
      <c r="P58" s="549"/>
      <c r="Q58" s="549"/>
      <c r="R58" s="549"/>
      <c r="S58" s="549"/>
      <c r="T58" s="549"/>
      <c r="U58" s="549"/>
      <c r="V58" s="549"/>
      <c r="W58" s="549"/>
      <c r="X58" s="549"/>
      <c r="Y58" s="549"/>
      <c r="Z58" s="549"/>
      <c r="AA58" s="549"/>
      <c r="AB58" s="549"/>
      <c r="AC58" s="549"/>
      <c r="AD58" s="549"/>
      <c r="AE58" s="549"/>
      <c r="AF58" s="549"/>
      <c r="AG58" s="549"/>
      <c r="AH58" s="549"/>
      <c r="AI58" s="549"/>
      <c r="AJ58" s="549"/>
      <c r="AK58" s="549"/>
      <c r="AL58" s="549"/>
      <c r="AM58" s="549"/>
      <c r="AN58" s="549"/>
      <c r="AO58" s="549"/>
      <c r="AP58" s="549"/>
      <c r="AQ58" s="549"/>
      <c r="AR58" s="549"/>
      <c r="AS58" s="549"/>
      <c r="AT58" s="549"/>
      <c r="AU58" s="549"/>
      <c r="AV58" s="549"/>
      <c r="AW58" s="549"/>
      <c r="AX58" s="549"/>
      <c r="AY58" s="549"/>
      <c r="AZ58" s="549"/>
      <c r="BA58" s="549"/>
      <c r="BB58" s="549"/>
      <c r="BC58" s="549"/>
      <c r="BD58" s="549"/>
      <c r="BE58" s="549"/>
      <c r="BF58" s="549"/>
      <c r="BG58" s="549"/>
      <c r="BH58" s="549"/>
      <c r="BI58" s="549"/>
      <c r="BJ58" s="549"/>
      <c r="BK58" s="549"/>
      <c r="BL58" s="549"/>
      <c r="BM58" s="549"/>
      <c r="BN58" s="549"/>
      <c r="BO58" s="549"/>
      <c r="BP58" s="549"/>
      <c r="BQ58" s="549"/>
      <c r="BR58" s="549"/>
      <c r="BS58" s="549"/>
      <c r="BT58" s="549"/>
      <c r="BU58" s="549"/>
      <c r="BV58" s="549"/>
      <c r="BW58" s="615"/>
      <c r="BX58" s="615"/>
      <c r="BY58" s="615"/>
      <c r="BZ58" s="615"/>
      <c r="CA58" s="615"/>
    </row>
    <row r="59" spans="1:79" ht="15.75" customHeight="1">
      <c r="A59" s="614"/>
      <c r="B59" s="549"/>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49"/>
      <c r="AD59" s="549"/>
      <c r="AE59" s="549"/>
      <c r="AF59" s="549"/>
      <c r="AG59" s="549"/>
      <c r="AH59" s="549"/>
      <c r="AI59" s="549"/>
      <c r="AJ59" s="549"/>
      <c r="AK59" s="549"/>
      <c r="AL59" s="549"/>
      <c r="AM59" s="549"/>
      <c r="AN59" s="549"/>
      <c r="AO59" s="549"/>
      <c r="AP59" s="549"/>
      <c r="AQ59" s="549"/>
      <c r="AR59" s="549"/>
      <c r="AS59" s="549"/>
      <c r="AT59" s="549"/>
      <c r="AU59" s="549"/>
      <c r="AV59" s="549"/>
      <c r="AW59" s="549"/>
      <c r="AX59" s="549"/>
      <c r="AY59" s="549"/>
      <c r="AZ59" s="549"/>
      <c r="BA59" s="549"/>
      <c r="BB59" s="549"/>
      <c r="BC59" s="549"/>
      <c r="BD59" s="549"/>
      <c r="BE59" s="549"/>
      <c r="BF59" s="549"/>
      <c r="BG59" s="549"/>
      <c r="BH59" s="549"/>
      <c r="BI59" s="549"/>
      <c r="BJ59" s="549"/>
      <c r="BK59" s="549"/>
      <c r="BL59" s="549"/>
      <c r="BM59" s="549"/>
      <c r="BN59" s="549"/>
      <c r="BO59" s="549"/>
      <c r="BP59" s="549"/>
      <c r="BQ59" s="549"/>
      <c r="BR59" s="549"/>
      <c r="BS59" s="549"/>
      <c r="BT59" s="549"/>
      <c r="BU59" s="549"/>
      <c r="BV59" s="549"/>
      <c r="BW59" s="549"/>
      <c r="BX59" s="549"/>
      <c r="BY59" s="549"/>
      <c r="BZ59" s="549"/>
      <c r="CA59" s="549"/>
    </row>
    <row r="60" spans="1:79" ht="15.75" customHeight="1">
      <c r="A60" s="601" t="s">
        <v>562</v>
      </c>
      <c r="B60" s="549"/>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49"/>
      <c r="AA60" s="549"/>
      <c r="AB60" s="549"/>
      <c r="AC60" s="549"/>
      <c r="AD60" s="549"/>
      <c r="AE60" s="549"/>
      <c r="AF60" s="549"/>
      <c r="AG60" s="549"/>
      <c r="AH60" s="549"/>
      <c r="AI60" s="549"/>
      <c r="AJ60" s="549"/>
      <c r="AK60" s="549"/>
      <c r="AL60" s="549"/>
      <c r="AM60" s="549"/>
      <c r="AN60" s="549"/>
      <c r="AO60" s="549"/>
      <c r="AP60" s="549"/>
      <c r="AQ60" s="549"/>
      <c r="AR60" s="549"/>
      <c r="AS60" s="549"/>
      <c r="AT60" s="549"/>
      <c r="AU60" s="549"/>
      <c r="AV60" s="549"/>
      <c r="AW60" s="549"/>
      <c r="AX60" s="549"/>
      <c r="AY60" s="549"/>
      <c r="AZ60" s="549"/>
      <c r="BA60" s="549"/>
      <c r="BB60" s="549"/>
      <c r="BC60" s="549"/>
      <c r="BD60" s="549"/>
      <c r="BE60" s="549"/>
      <c r="BF60" s="549"/>
      <c r="BG60" s="549"/>
      <c r="BH60" s="549"/>
      <c r="BI60" s="549"/>
      <c r="BJ60" s="549"/>
      <c r="BK60" s="549"/>
      <c r="BL60" s="549"/>
      <c r="BM60" s="549"/>
      <c r="BN60" s="549"/>
      <c r="BO60" s="549"/>
      <c r="BP60" s="549"/>
      <c r="BQ60" s="549"/>
      <c r="BR60" s="549"/>
      <c r="BS60" s="549"/>
      <c r="BT60" s="549"/>
      <c r="BU60" s="549"/>
      <c r="BV60" s="549"/>
      <c r="BW60" s="549"/>
      <c r="BX60" s="549"/>
      <c r="BY60" s="549"/>
      <c r="BZ60" s="549"/>
      <c r="CA60" s="549"/>
    </row>
    <row r="61" spans="1:79" ht="15.75" customHeight="1">
      <c r="A61" s="602" t="s">
        <v>560</v>
      </c>
      <c r="B61" s="603" t="s">
        <v>561</v>
      </c>
      <c r="C61" s="604">
        <v>1951</v>
      </c>
      <c r="D61" s="605">
        <v>1952</v>
      </c>
      <c r="E61" s="605">
        <v>1953</v>
      </c>
      <c r="F61" s="605">
        <v>1954</v>
      </c>
      <c r="G61" s="605">
        <v>1955</v>
      </c>
      <c r="H61" s="605">
        <v>1956</v>
      </c>
      <c r="I61" s="605">
        <v>1957</v>
      </c>
      <c r="J61" s="605">
        <v>1958</v>
      </c>
      <c r="K61" s="605">
        <v>1959</v>
      </c>
      <c r="L61" s="605">
        <v>1960</v>
      </c>
      <c r="M61" s="605">
        <v>1961</v>
      </c>
      <c r="N61" s="605">
        <v>1962</v>
      </c>
      <c r="O61" s="605">
        <v>1963</v>
      </c>
      <c r="P61" s="605">
        <v>1964</v>
      </c>
      <c r="Q61" s="605">
        <v>1965</v>
      </c>
      <c r="R61" s="605">
        <v>1966</v>
      </c>
      <c r="S61" s="605">
        <v>1967</v>
      </c>
      <c r="T61" s="605">
        <v>1968</v>
      </c>
      <c r="U61" s="605">
        <v>1969</v>
      </c>
      <c r="V61" s="605">
        <v>1970</v>
      </c>
      <c r="W61" s="605">
        <v>1971</v>
      </c>
      <c r="X61" s="605">
        <v>1972</v>
      </c>
      <c r="Y61" s="605">
        <v>1973</v>
      </c>
      <c r="Z61" s="605">
        <v>1974</v>
      </c>
      <c r="AA61" s="605">
        <v>1975</v>
      </c>
      <c r="AB61" s="605">
        <v>1976</v>
      </c>
      <c r="AC61" s="605">
        <v>1977</v>
      </c>
      <c r="AD61" s="605">
        <v>1978</v>
      </c>
      <c r="AE61" s="605">
        <v>1979</v>
      </c>
      <c r="AF61" s="605">
        <v>1980</v>
      </c>
      <c r="AG61" s="606">
        <v>1981</v>
      </c>
      <c r="AH61" s="605">
        <v>1982</v>
      </c>
      <c r="AI61" s="605">
        <v>1983</v>
      </c>
      <c r="AJ61" s="605">
        <v>1984</v>
      </c>
      <c r="AK61" s="605">
        <v>1985</v>
      </c>
      <c r="AL61" s="605">
        <v>1986</v>
      </c>
      <c r="AM61" s="605">
        <v>1987</v>
      </c>
      <c r="AN61" s="605">
        <v>1988</v>
      </c>
      <c r="AO61" s="605">
        <v>1989</v>
      </c>
      <c r="AP61" s="605">
        <v>1990</v>
      </c>
      <c r="AQ61" s="607">
        <v>1991</v>
      </c>
      <c r="AR61" s="607">
        <v>1992</v>
      </c>
      <c r="AS61" s="607">
        <v>1993</v>
      </c>
      <c r="AT61" s="606">
        <v>1994</v>
      </c>
      <c r="AU61" s="605">
        <v>1995</v>
      </c>
      <c r="AV61" s="605">
        <v>1996</v>
      </c>
      <c r="AW61" s="605">
        <v>1997</v>
      </c>
      <c r="AX61" s="605">
        <v>1998</v>
      </c>
      <c r="AY61" s="605">
        <v>1999</v>
      </c>
      <c r="AZ61" s="605">
        <v>2000</v>
      </c>
      <c r="BA61" s="605">
        <v>2001</v>
      </c>
      <c r="BB61" s="605">
        <v>2002</v>
      </c>
      <c r="BC61" s="605">
        <v>2003</v>
      </c>
      <c r="BD61" s="605">
        <v>2004</v>
      </c>
      <c r="BE61" s="605">
        <v>2005</v>
      </c>
      <c r="BF61" s="605">
        <v>2006</v>
      </c>
      <c r="BG61" s="605">
        <v>2007</v>
      </c>
      <c r="BH61" s="608">
        <v>2008</v>
      </c>
      <c r="BI61" s="609">
        <v>2009</v>
      </c>
      <c r="BJ61" s="607">
        <v>2010</v>
      </c>
      <c r="BK61" s="607">
        <v>2011</v>
      </c>
      <c r="BL61" s="607">
        <v>2012</v>
      </c>
      <c r="BM61" s="607">
        <v>2013</v>
      </c>
      <c r="BN61" s="607">
        <v>2014</v>
      </c>
      <c r="BO61" s="607">
        <v>2015</v>
      </c>
      <c r="BP61" s="607">
        <v>2016</v>
      </c>
      <c r="BQ61" s="607">
        <v>2017</v>
      </c>
      <c r="BR61" s="607">
        <v>2018</v>
      </c>
      <c r="BS61" s="607">
        <v>2019</v>
      </c>
      <c r="BT61" s="607">
        <v>2020</v>
      </c>
      <c r="BU61" s="610">
        <v>2021</v>
      </c>
      <c r="BV61" s="610">
        <v>2022</v>
      </c>
      <c r="BW61" s="610">
        <v>2023</v>
      </c>
      <c r="BX61" s="549"/>
      <c r="BY61" s="549"/>
      <c r="BZ61" s="549"/>
      <c r="CA61" s="549"/>
    </row>
    <row r="62" spans="1:79" ht="15.75" customHeight="1">
      <c r="A62" s="611"/>
      <c r="B62" s="594"/>
      <c r="C62" s="612">
        <v>0</v>
      </c>
      <c r="D62" s="559">
        <v>0</v>
      </c>
      <c r="E62" s="559">
        <v>0</v>
      </c>
      <c r="F62" s="559">
        <v>0</v>
      </c>
      <c r="G62" s="596">
        <f>G52*27.9</f>
        <v>2278.9208702944084</v>
      </c>
      <c r="H62" s="596">
        <f t="shared" ref="H62:BW62" si="30">H57*27.9</f>
        <v>91652.217817375786</v>
      </c>
      <c r="I62" s="596">
        <f t="shared" si="30"/>
        <v>132137.58410058945</v>
      </c>
      <c r="J62" s="596">
        <f t="shared" si="30"/>
        <v>169948.68193052566</v>
      </c>
      <c r="K62" s="596">
        <f t="shared" si="30"/>
        <v>205621.45444546241</v>
      </c>
      <c r="L62" s="596">
        <f t="shared" si="30"/>
        <v>239608.06598478695</v>
      </c>
      <c r="M62" s="596">
        <f t="shared" si="30"/>
        <v>272289.99841702438</v>
      </c>
      <c r="N62" s="596">
        <f t="shared" si="30"/>
        <v>303989.10024577531</v>
      </c>
      <c r="O62" s="596">
        <f t="shared" si="30"/>
        <v>335526.7924986828</v>
      </c>
      <c r="P62" s="596">
        <f t="shared" si="30"/>
        <v>367075.99369148782</v>
      </c>
      <c r="Q62" s="596">
        <f t="shared" si="30"/>
        <v>398782.59166350315</v>
      </c>
      <c r="R62" s="596">
        <f t="shared" si="30"/>
        <v>430769.66902140103</v>
      </c>
      <c r="S62" s="596">
        <f t="shared" si="30"/>
        <v>463141.068060308</v>
      </c>
      <c r="T62" s="596">
        <f t="shared" si="30"/>
        <v>495984.3984153198</v>
      </c>
      <c r="U62" s="596">
        <f t="shared" si="30"/>
        <v>529373.57455598959</v>
      </c>
      <c r="V62" s="596">
        <f t="shared" si="30"/>
        <v>563370.95661888784</v>
      </c>
      <c r="W62" s="596">
        <f t="shared" si="30"/>
        <v>598029.15658454504</v>
      </c>
      <c r="X62" s="596">
        <f t="shared" si="30"/>
        <v>633392.56211225048</v>
      </c>
      <c r="Y62" s="596">
        <f t="shared" si="30"/>
        <v>670989.37800011889</v>
      </c>
      <c r="Z62" s="596">
        <f t="shared" si="30"/>
        <v>710681.70565300749</v>
      </c>
      <c r="AA62" s="596">
        <f t="shared" si="30"/>
        <v>752353.20282726793</v>
      </c>
      <c r="AB62" s="596">
        <f t="shared" si="30"/>
        <v>795905.71393514343</v>
      </c>
      <c r="AC62" s="596">
        <f t="shared" si="30"/>
        <v>841256.42710103397</v>
      </c>
      <c r="AD62" s="596">
        <f t="shared" si="30"/>
        <v>888335.47562761826</v>
      </c>
      <c r="AE62" s="596">
        <f t="shared" si="30"/>
        <v>937083.91440153739</v>
      </c>
      <c r="AF62" s="596">
        <f t="shared" si="30"/>
        <v>987452.0126279766</v>
      </c>
      <c r="AG62" s="596">
        <f t="shared" si="30"/>
        <v>1039397.8134455109</v>
      </c>
      <c r="AH62" s="596">
        <f t="shared" si="30"/>
        <v>1092885.9187024068</v>
      </c>
      <c r="AI62" s="596">
        <f t="shared" si="30"/>
        <v>1155277.5319941049</v>
      </c>
      <c r="AJ62" s="596">
        <f t="shared" si="30"/>
        <v>1225651.7741333435</v>
      </c>
      <c r="AK62" s="596">
        <f t="shared" si="30"/>
        <v>1303231.7180552462</v>
      </c>
      <c r="AL62" s="596">
        <f t="shared" si="30"/>
        <v>1387361.8861765547</v>
      </c>
      <c r="AM62" s="596">
        <f t="shared" si="30"/>
        <v>1477489.2653747024</v>
      </c>
      <c r="AN62" s="596">
        <f t="shared" si="30"/>
        <v>1573147.289711294</v>
      </c>
      <c r="AO62" s="596">
        <f t="shared" si="30"/>
        <v>1673942.3269812535</v>
      </c>
      <c r="AP62" s="596">
        <f t="shared" si="30"/>
        <v>1779542.2776888367</v>
      </c>
      <c r="AQ62" s="596">
        <f t="shared" si="30"/>
        <v>1889666.9562352763</v>
      </c>
      <c r="AR62" s="596">
        <f t="shared" si="30"/>
        <v>2004079.975722179</v>
      </c>
      <c r="AS62" s="596">
        <f t="shared" si="30"/>
        <v>2110002.0892309709</v>
      </c>
      <c r="AT62" s="596">
        <f t="shared" si="30"/>
        <v>2208855.5632727775</v>
      </c>
      <c r="AU62" s="596">
        <f t="shared" si="30"/>
        <v>2301840.3352131587</v>
      </c>
      <c r="AV62" s="596">
        <f t="shared" si="30"/>
        <v>2423754.9195293346</v>
      </c>
      <c r="AW62" s="596">
        <f t="shared" si="30"/>
        <v>2537123.0041449177</v>
      </c>
      <c r="AX62" s="596">
        <f t="shared" si="30"/>
        <v>2637298.5098823383</v>
      </c>
      <c r="AY62" s="596">
        <f t="shared" si="30"/>
        <v>2726358.6351725599</v>
      </c>
      <c r="AZ62" s="596">
        <f t="shared" si="30"/>
        <v>2806055.9096200154</v>
      </c>
      <c r="BA62" s="596">
        <f t="shared" si="30"/>
        <v>2877868.9464295651</v>
      </c>
      <c r="BB62" s="596">
        <f t="shared" si="30"/>
        <v>2943045.2611984126</v>
      </c>
      <c r="BC62" s="596">
        <f t="shared" si="30"/>
        <v>3008903.3234965238</v>
      </c>
      <c r="BD62" s="596">
        <f t="shared" si="30"/>
        <v>3075467.3551567588</v>
      </c>
      <c r="BE62" s="596">
        <f t="shared" si="30"/>
        <v>3142763.2781341607</v>
      </c>
      <c r="BF62" s="596">
        <f t="shared" si="30"/>
        <v>2789292.3995573157</v>
      </c>
      <c r="BG62" s="596">
        <f t="shared" si="30"/>
        <v>2493871.6103853937</v>
      </c>
      <c r="BH62" s="596">
        <f t="shared" si="30"/>
        <v>2252735.7845212645</v>
      </c>
      <c r="BI62" s="596">
        <f t="shared" si="30"/>
        <v>2057823.3691186416</v>
      </c>
      <c r="BJ62" s="596">
        <f t="shared" si="30"/>
        <v>1902353.3470993212</v>
      </c>
      <c r="BK62" s="596">
        <f t="shared" si="30"/>
        <v>1780645.9552001138</v>
      </c>
      <c r="BL62" s="596">
        <f t="shared" si="30"/>
        <v>1837382.5262023422</v>
      </c>
      <c r="BM62" s="596">
        <f t="shared" si="30"/>
        <v>1922460.7967902706</v>
      </c>
      <c r="BN62" s="596">
        <f t="shared" si="30"/>
        <v>2034618.827449125</v>
      </c>
      <c r="BO62" s="596">
        <f t="shared" si="30"/>
        <v>2173008.0498315613</v>
      </c>
      <c r="BP62" s="596">
        <f t="shared" si="30"/>
        <v>2337138.8878641487</v>
      </c>
      <c r="BQ62" s="596">
        <f t="shared" si="30"/>
        <v>2526756.1134464098</v>
      </c>
      <c r="BR62" s="596">
        <f t="shared" si="30"/>
        <v>2131772.8080260395</v>
      </c>
      <c r="BS62" s="596">
        <f t="shared" si="30"/>
        <v>1798533.4163655152</v>
      </c>
      <c r="BT62" s="596">
        <f t="shared" si="30"/>
        <v>1517386.1105671357</v>
      </c>
      <c r="BU62" s="616">
        <f t="shared" si="30"/>
        <v>1280187.839486954</v>
      </c>
      <c r="BV62" s="616">
        <f t="shared" si="30"/>
        <v>1080068.4762810499</v>
      </c>
      <c r="BW62" s="616">
        <f t="shared" si="30"/>
        <v>911231.83448108111</v>
      </c>
      <c r="BX62" s="549"/>
      <c r="BY62" s="549"/>
      <c r="BZ62" s="549"/>
      <c r="CA62" s="549"/>
    </row>
    <row r="63" spans="1:79" ht="15.75" customHeight="1">
      <c r="A63" s="614"/>
      <c r="B63" s="549"/>
      <c r="C63" s="549"/>
      <c r="D63" s="549"/>
      <c r="E63" s="549"/>
      <c r="F63" s="549"/>
      <c r="G63" s="549"/>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49"/>
      <c r="AK63" s="549"/>
      <c r="AL63" s="549"/>
      <c r="AM63" s="549"/>
      <c r="AN63" s="549"/>
      <c r="AO63" s="549"/>
      <c r="AP63" s="549"/>
      <c r="AQ63" s="549"/>
      <c r="AR63" s="549"/>
      <c r="AS63" s="549"/>
      <c r="AT63" s="549"/>
      <c r="AU63" s="549"/>
      <c r="AV63" s="549"/>
      <c r="AW63" s="549"/>
      <c r="AX63" s="549"/>
      <c r="AY63" s="549"/>
      <c r="AZ63" s="549"/>
      <c r="BA63" s="549"/>
      <c r="BB63" s="549"/>
      <c r="BC63" s="549"/>
      <c r="BD63" s="549"/>
      <c r="BE63" s="549"/>
      <c r="BF63" s="549"/>
      <c r="BG63" s="549"/>
      <c r="BH63" s="549"/>
      <c r="BI63" s="549"/>
      <c r="BJ63" s="549"/>
      <c r="BK63" s="549"/>
      <c r="BL63" s="549"/>
      <c r="BM63" s="549"/>
      <c r="BN63" s="549"/>
      <c r="BO63" s="549"/>
      <c r="BP63" s="549"/>
      <c r="BQ63" s="549"/>
      <c r="BR63" s="549"/>
      <c r="BS63" s="549"/>
      <c r="BT63" s="549"/>
      <c r="BU63" s="549"/>
      <c r="BV63" s="549"/>
      <c r="BW63" s="549"/>
      <c r="BX63" s="549"/>
      <c r="BY63" s="549"/>
      <c r="BZ63" s="549"/>
      <c r="CA63" s="549"/>
    </row>
    <row r="64" spans="1:79" ht="15.75" customHeight="1">
      <c r="A64" s="614"/>
      <c r="B64" s="549"/>
      <c r="C64" s="549"/>
      <c r="D64" s="549"/>
      <c r="E64" s="549"/>
      <c r="F64" s="549"/>
      <c r="G64" s="549"/>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c r="AG64" s="549"/>
      <c r="AH64" s="549"/>
      <c r="AI64" s="549"/>
      <c r="AJ64" s="549"/>
      <c r="AK64" s="549"/>
      <c r="AL64" s="549"/>
      <c r="AM64" s="549"/>
      <c r="AN64" s="549"/>
      <c r="AO64" s="549"/>
      <c r="AP64" s="549"/>
      <c r="AQ64" s="549"/>
      <c r="AR64" s="549"/>
      <c r="AS64" s="549"/>
      <c r="AT64" s="549"/>
      <c r="AU64" s="549"/>
      <c r="AV64" s="549"/>
      <c r="AW64" s="549"/>
      <c r="AX64" s="549"/>
      <c r="AY64" s="549"/>
      <c r="AZ64" s="549"/>
      <c r="BA64" s="549"/>
      <c r="BB64" s="549"/>
      <c r="BC64" s="549"/>
      <c r="BD64" s="549"/>
      <c r="BE64" s="549"/>
      <c r="BF64" s="549"/>
      <c r="BG64" s="549"/>
      <c r="BH64" s="549"/>
      <c r="BI64" s="549"/>
      <c r="BJ64" s="549"/>
      <c r="BK64" s="549"/>
      <c r="BL64" s="549"/>
      <c r="BM64" s="549"/>
      <c r="BN64" s="549"/>
      <c r="BO64" s="549"/>
      <c r="BP64" s="549"/>
      <c r="BQ64" s="549"/>
      <c r="BR64" s="549"/>
      <c r="BS64" s="549"/>
      <c r="BT64" s="549"/>
      <c r="BU64" s="549"/>
      <c r="BV64" s="549"/>
      <c r="BW64" s="549"/>
      <c r="BX64" s="549"/>
      <c r="BY64" s="549"/>
      <c r="BZ64" s="549"/>
      <c r="CA64" s="549"/>
    </row>
    <row r="65" spans="1:79" ht="15.75" customHeight="1">
      <c r="A65" s="601" t="s">
        <v>563</v>
      </c>
      <c r="B65" s="549"/>
      <c r="C65" s="549"/>
      <c r="D65" s="549"/>
      <c r="E65" s="549"/>
      <c r="F65" s="549"/>
      <c r="G65" s="549"/>
      <c r="H65" s="549"/>
      <c r="I65" s="549"/>
      <c r="J65" s="549"/>
      <c r="K65" s="549"/>
      <c r="L65" s="549"/>
      <c r="M65" s="549"/>
      <c r="N65" s="549"/>
      <c r="O65" s="549"/>
      <c r="P65" s="549"/>
      <c r="Q65" s="549"/>
      <c r="R65" s="549"/>
      <c r="S65" s="549"/>
      <c r="T65" s="549"/>
      <c r="U65" s="549"/>
      <c r="V65" s="549"/>
      <c r="W65" s="549"/>
      <c r="X65" s="549"/>
      <c r="Y65" s="549"/>
      <c r="Z65" s="549"/>
      <c r="AA65" s="549"/>
      <c r="AB65" s="549"/>
      <c r="AC65" s="549"/>
      <c r="AD65" s="549"/>
      <c r="AE65" s="549"/>
      <c r="AF65" s="549"/>
      <c r="AG65" s="549"/>
      <c r="AH65" s="549"/>
      <c r="AI65" s="549"/>
      <c r="AJ65" s="549"/>
      <c r="AK65" s="549"/>
      <c r="AL65" s="549"/>
      <c r="AM65" s="549"/>
      <c r="AN65" s="549"/>
      <c r="AO65" s="549"/>
      <c r="AP65" s="549"/>
      <c r="AQ65" s="549"/>
      <c r="AR65" s="549"/>
      <c r="AS65" s="549"/>
      <c r="AT65" s="549"/>
      <c r="AU65" s="549"/>
      <c r="AV65" s="549"/>
      <c r="AW65" s="549"/>
      <c r="AX65" s="549"/>
      <c r="AY65" s="549"/>
      <c r="AZ65" s="549"/>
      <c r="BA65" s="549"/>
      <c r="BB65" s="549"/>
      <c r="BC65" s="549"/>
      <c r="BD65" s="549"/>
      <c r="BE65" s="549"/>
      <c r="BF65" s="549"/>
      <c r="BG65" s="549"/>
      <c r="BH65" s="549"/>
      <c r="BI65" s="549"/>
      <c r="BJ65" s="549"/>
      <c r="BK65" s="549"/>
      <c r="BL65" s="549"/>
      <c r="BM65" s="549"/>
      <c r="BN65" s="549"/>
      <c r="BO65" s="549"/>
      <c r="BP65" s="549"/>
      <c r="BQ65" s="549"/>
      <c r="BR65" s="549"/>
      <c r="BS65" s="549"/>
      <c r="BT65" s="549"/>
      <c r="BU65" s="549"/>
      <c r="BV65" s="549"/>
      <c r="BW65" s="549"/>
      <c r="BX65" s="549"/>
      <c r="BY65" s="549"/>
      <c r="BZ65" s="549"/>
      <c r="CA65" s="549"/>
    </row>
    <row r="66" spans="1:79" ht="15.75" customHeight="1">
      <c r="A66" s="602" t="s">
        <v>560</v>
      </c>
      <c r="B66" s="603" t="s">
        <v>561</v>
      </c>
      <c r="C66" s="604">
        <v>1951</v>
      </c>
      <c r="D66" s="605">
        <v>1952</v>
      </c>
      <c r="E66" s="605">
        <v>1953</v>
      </c>
      <c r="F66" s="605">
        <v>1954</v>
      </c>
      <c r="G66" s="605">
        <v>1955</v>
      </c>
      <c r="H66" s="605">
        <v>1956</v>
      </c>
      <c r="I66" s="605">
        <v>1957</v>
      </c>
      <c r="J66" s="605">
        <v>1958</v>
      </c>
      <c r="K66" s="605">
        <v>1959</v>
      </c>
      <c r="L66" s="605">
        <v>1960</v>
      </c>
      <c r="M66" s="605">
        <v>1961</v>
      </c>
      <c r="N66" s="605">
        <v>1962</v>
      </c>
      <c r="O66" s="605">
        <v>1963</v>
      </c>
      <c r="P66" s="605">
        <v>1964</v>
      </c>
      <c r="Q66" s="605">
        <v>1965</v>
      </c>
      <c r="R66" s="605">
        <v>1966</v>
      </c>
      <c r="S66" s="605">
        <v>1967</v>
      </c>
      <c r="T66" s="605">
        <v>1968</v>
      </c>
      <c r="U66" s="605">
        <v>1969</v>
      </c>
      <c r="V66" s="605">
        <v>1970</v>
      </c>
      <c r="W66" s="605">
        <v>1971</v>
      </c>
      <c r="X66" s="605">
        <v>1972</v>
      </c>
      <c r="Y66" s="605">
        <v>1973</v>
      </c>
      <c r="Z66" s="605">
        <v>1974</v>
      </c>
      <c r="AA66" s="605">
        <v>1975</v>
      </c>
      <c r="AB66" s="605">
        <v>1976</v>
      </c>
      <c r="AC66" s="605">
        <v>1977</v>
      </c>
      <c r="AD66" s="605">
        <v>1978</v>
      </c>
      <c r="AE66" s="605">
        <v>1979</v>
      </c>
      <c r="AF66" s="605">
        <v>1980</v>
      </c>
      <c r="AG66" s="606">
        <v>1981</v>
      </c>
      <c r="AH66" s="605">
        <v>1982</v>
      </c>
      <c r="AI66" s="605">
        <v>1983</v>
      </c>
      <c r="AJ66" s="605">
        <v>1984</v>
      </c>
      <c r="AK66" s="605">
        <v>1985</v>
      </c>
      <c r="AL66" s="605">
        <v>1986</v>
      </c>
      <c r="AM66" s="605">
        <v>1987</v>
      </c>
      <c r="AN66" s="605">
        <v>1988</v>
      </c>
      <c r="AO66" s="605">
        <v>1989</v>
      </c>
      <c r="AP66" s="605">
        <v>1990</v>
      </c>
      <c r="AQ66" s="607">
        <v>1991</v>
      </c>
      <c r="AR66" s="607">
        <v>1992</v>
      </c>
      <c r="AS66" s="607">
        <v>1993</v>
      </c>
      <c r="AT66" s="606">
        <v>1994</v>
      </c>
      <c r="AU66" s="605">
        <v>1995</v>
      </c>
      <c r="AV66" s="605">
        <v>1996</v>
      </c>
      <c r="AW66" s="605">
        <v>1997</v>
      </c>
      <c r="AX66" s="605">
        <v>1998</v>
      </c>
      <c r="AY66" s="605">
        <v>1999</v>
      </c>
      <c r="AZ66" s="605">
        <v>2000</v>
      </c>
      <c r="BA66" s="605">
        <v>2001</v>
      </c>
      <c r="BB66" s="605">
        <v>2002</v>
      </c>
      <c r="BC66" s="605">
        <v>2003</v>
      </c>
      <c r="BD66" s="605">
        <v>2004</v>
      </c>
      <c r="BE66" s="605">
        <v>2005</v>
      </c>
      <c r="BF66" s="605">
        <v>2006</v>
      </c>
      <c r="BG66" s="605">
        <v>2007</v>
      </c>
      <c r="BH66" s="608">
        <v>2008</v>
      </c>
      <c r="BI66" s="609">
        <v>2009</v>
      </c>
      <c r="BJ66" s="607">
        <v>2010</v>
      </c>
      <c r="BK66" s="607">
        <v>2011</v>
      </c>
      <c r="BL66" s="607">
        <v>2012</v>
      </c>
      <c r="BM66" s="607">
        <v>2013</v>
      </c>
      <c r="BN66" s="607">
        <v>2014</v>
      </c>
      <c r="BO66" s="607">
        <v>2015</v>
      </c>
      <c r="BP66" s="607">
        <v>2016</v>
      </c>
      <c r="BQ66" s="607">
        <v>2017</v>
      </c>
      <c r="BR66" s="607">
        <v>2018</v>
      </c>
      <c r="BS66" s="607">
        <v>2019</v>
      </c>
      <c r="BT66" s="607">
        <v>2020</v>
      </c>
      <c r="BU66" s="610">
        <v>2021</v>
      </c>
      <c r="BV66" s="610">
        <v>2022</v>
      </c>
      <c r="BW66" s="610">
        <v>2023</v>
      </c>
      <c r="BX66" s="549"/>
      <c r="BY66" s="549"/>
      <c r="BZ66" s="549"/>
      <c r="CA66" s="549"/>
    </row>
    <row r="67" spans="1:79" ht="15.75" customHeight="1">
      <c r="A67" s="611"/>
      <c r="B67" s="594"/>
      <c r="C67" s="612">
        <v>0</v>
      </c>
      <c r="D67" s="559">
        <v>0</v>
      </c>
      <c r="E67" s="559">
        <v>0</v>
      </c>
      <c r="F67" s="559">
        <v>0</v>
      </c>
      <c r="G67" s="596">
        <f t="shared" ref="G67:BW67" si="31">G52*5.38</f>
        <v>439.44782373419059</v>
      </c>
      <c r="H67" s="596">
        <f t="shared" si="31"/>
        <v>841.59230561099446</v>
      </c>
      <c r="I67" s="596">
        <f t="shared" si="31"/>
        <v>1213.3473330963839</v>
      </c>
      <c r="J67" s="596">
        <f t="shared" si="31"/>
        <v>1560.5460126066362</v>
      </c>
      <c r="K67" s="596">
        <f t="shared" si="31"/>
        <v>1888.1096175398325</v>
      </c>
      <c r="L67" s="596">
        <f t="shared" si="31"/>
        <v>2200.1901262982656</v>
      </c>
      <c r="M67" s="596">
        <f t="shared" si="31"/>
        <v>2500.2904787226339</v>
      </c>
      <c r="N67" s="596">
        <f t="shared" si="31"/>
        <v>2791.3660340028528</v>
      </c>
      <c r="O67" s="596">
        <f t="shared" si="31"/>
        <v>3080.9594532222454</v>
      </c>
      <c r="P67" s="596">
        <f t="shared" si="31"/>
        <v>3370.6585527567927</v>
      </c>
      <c r="Q67" s="596">
        <f t="shared" si="31"/>
        <v>3661.8029410302902</v>
      </c>
      <c r="R67" s="596">
        <f t="shared" si="31"/>
        <v>3955.522818459016</v>
      </c>
      <c r="S67" s="596">
        <f t="shared" si="31"/>
        <v>4252.7717121769201</v>
      </c>
      <c r="T67" s="596">
        <f t="shared" si="31"/>
        <v>4554.3540936583386</v>
      </c>
      <c r="U67" s="596">
        <f t="shared" si="31"/>
        <v>4860.9486791452873</v>
      </c>
      <c r="V67" s="596">
        <f t="shared" si="31"/>
        <v>5173.1280877446952</v>
      </c>
      <c r="W67" s="596">
        <f t="shared" si="31"/>
        <v>5491.3754265657153</v>
      </c>
      <c r="X67" s="596">
        <f t="shared" si="31"/>
        <v>5816.098283263198</v>
      </c>
      <c r="Y67" s="596">
        <f t="shared" si="31"/>
        <v>6161.329328623724</v>
      </c>
      <c r="Z67" s="596">
        <f t="shared" si="31"/>
        <v>6525.8023150933277</v>
      </c>
      <c r="AA67" s="596">
        <f t="shared" si="31"/>
        <v>6908.4489353314593</v>
      </c>
      <c r="AB67" s="596">
        <f t="shared" si="31"/>
        <v>7308.3678801349579</v>
      </c>
      <c r="AC67" s="596">
        <f t="shared" si="31"/>
        <v>7724.7987332370076</v>
      </c>
      <c r="AD67" s="596">
        <f t="shared" si="31"/>
        <v>8157.0999468793079</v>
      </c>
      <c r="AE67" s="596">
        <f t="shared" si="31"/>
        <v>8604.7302602496529</v>
      </c>
      <c r="AF67" s="596">
        <f t="shared" si="31"/>
        <v>9067.2330225951773</v>
      </c>
      <c r="AG67" s="596">
        <f t="shared" si="31"/>
        <v>9544.2229669514418</v>
      </c>
      <c r="AH67" s="596">
        <f t="shared" si="31"/>
        <v>10035.375051406298</v>
      </c>
      <c r="AI67" s="596">
        <f t="shared" si="31"/>
        <v>10608.283191889888</v>
      </c>
      <c r="AJ67" s="596">
        <f t="shared" si="31"/>
        <v>11254.491457309077</v>
      </c>
      <c r="AK67" s="596">
        <f t="shared" si="31"/>
        <v>11966.86575036222</v>
      </c>
      <c r="AL67" s="596">
        <f t="shared" si="31"/>
        <v>12739.387178067698</v>
      </c>
      <c r="AM67" s="596">
        <f t="shared" si="31"/>
        <v>13566.977722676053</v>
      </c>
      <c r="AN67" s="596">
        <f t="shared" si="31"/>
        <v>14445.353163759621</v>
      </c>
      <c r="AO67" s="596">
        <f t="shared" si="31"/>
        <v>15370.898991567066</v>
      </c>
      <c r="AP67" s="596">
        <f t="shared" si="31"/>
        <v>16340.565717641137</v>
      </c>
      <c r="AQ67" s="596">
        <f t="shared" si="31"/>
        <v>17351.78055051338</v>
      </c>
      <c r="AR67" s="596">
        <f t="shared" si="31"/>
        <v>18402.372878281829</v>
      </c>
      <c r="AS67" s="596">
        <f t="shared" si="31"/>
        <v>19374.997849569252</v>
      </c>
      <c r="AT67" s="596">
        <f t="shared" si="31"/>
        <v>20282.715361678685</v>
      </c>
      <c r="AU67" s="596">
        <f t="shared" si="31"/>
        <v>21136.543784684749</v>
      </c>
      <c r="AV67" s="596">
        <f t="shared" si="31"/>
        <v>22256.018889004645</v>
      </c>
      <c r="AW67" s="596">
        <f t="shared" si="31"/>
        <v>23297.016150025014</v>
      </c>
      <c r="AX67" s="596">
        <f t="shared" si="31"/>
        <v>24216.873157820417</v>
      </c>
      <c r="AY67" s="596">
        <f t="shared" si="31"/>
        <v>25034.663692146056</v>
      </c>
      <c r="AZ67" s="596">
        <f t="shared" si="31"/>
        <v>25766.480276080703</v>
      </c>
      <c r="BA67" s="596">
        <f t="shared" si="31"/>
        <v>26425.900207870047</v>
      </c>
      <c r="BB67" s="596">
        <f t="shared" si="31"/>
        <v>27024.378742528519</v>
      </c>
      <c r="BC67" s="596">
        <f t="shared" si="31"/>
        <v>27629.11739274842</v>
      </c>
      <c r="BD67" s="596">
        <f t="shared" si="31"/>
        <v>28240.338574404101</v>
      </c>
      <c r="BE67" s="596">
        <f t="shared" si="31"/>
        <v>28858.280314664251</v>
      </c>
      <c r="BF67" s="596">
        <f t="shared" si="31"/>
        <v>25612.550110289059</v>
      </c>
      <c r="BG67" s="596">
        <f t="shared" si="31"/>
        <v>22899.862201524862</v>
      </c>
      <c r="BH67" s="596">
        <f t="shared" si="31"/>
        <v>20685.643489886337</v>
      </c>
      <c r="BI67" s="596">
        <f t="shared" si="31"/>
        <v>18895.869134422755</v>
      </c>
      <c r="BJ67" s="596">
        <f t="shared" si="31"/>
        <v>17468.272755409369</v>
      </c>
      <c r="BK67" s="596">
        <f t="shared" si="31"/>
        <v>16350.700185998656</v>
      </c>
      <c r="BL67" s="596">
        <f t="shared" si="31"/>
        <v>16871.681158847245</v>
      </c>
      <c r="BM67" s="596">
        <f t="shared" si="31"/>
        <v>17652.908494165651</v>
      </c>
      <c r="BN67" s="596">
        <f t="shared" si="31"/>
        <v>18682.794489974898</v>
      </c>
      <c r="BO67" s="596">
        <f t="shared" si="31"/>
        <v>19953.547206167947</v>
      </c>
      <c r="BP67" s="596">
        <f t="shared" si="31"/>
        <v>21460.671132802727</v>
      </c>
      <c r="BQ67" s="596">
        <f t="shared" si="31"/>
        <v>23201.82264949938</v>
      </c>
      <c r="BR67" s="596">
        <f t="shared" si="31"/>
        <v>19574.906480935471</v>
      </c>
      <c r="BS67" s="596">
        <f t="shared" si="31"/>
        <v>16514.95098147546</v>
      </c>
      <c r="BT67" s="596">
        <f t="shared" si="31"/>
        <v>13933.32868211502</v>
      </c>
      <c r="BU67" s="616">
        <f t="shared" si="31"/>
        <v>11755.266387506081</v>
      </c>
      <c r="BV67" s="616">
        <f t="shared" si="31"/>
        <v>9917.6794715686101</v>
      </c>
      <c r="BW67" s="616">
        <f t="shared" si="31"/>
        <v>8367.3447166892238</v>
      </c>
      <c r="BX67" s="549"/>
      <c r="BY67" s="549"/>
      <c r="BZ67" s="549"/>
      <c r="CA67" s="549"/>
    </row>
    <row r="68" spans="1:79" ht="15.75" customHeight="1">
      <c r="A68" s="614"/>
      <c r="B68" s="549"/>
      <c r="C68" s="549"/>
      <c r="D68" s="549"/>
      <c r="E68" s="549"/>
      <c r="F68" s="549"/>
      <c r="G68" s="549"/>
      <c r="H68" s="549"/>
      <c r="I68" s="549"/>
      <c r="J68" s="549"/>
      <c r="K68" s="549"/>
      <c r="L68" s="549"/>
      <c r="M68" s="549"/>
      <c r="N68" s="549"/>
      <c r="O68" s="549"/>
      <c r="P68" s="549"/>
      <c r="Q68" s="549"/>
      <c r="R68" s="549"/>
      <c r="S68" s="549"/>
      <c r="T68" s="549"/>
      <c r="U68" s="549"/>
      <c r="V68" s="549"/>
      <c r="W68" s="549"/>
      <c r="X68" s="549"/>
      <c r="Y68" s="549"/>
      <c r="Z68" s="549"/>
      <c r="AA68" s="549"/>
      <c r="AB68" s="549"/>
      <c r="AC68" s="549"/>
      <c r="AD68" s="549"/>
      <c r="AE68" s="549"/>
      <c r="AF68" s="549"/>
      <c r="AG68" s="549"/>
      <c r="AH68" s="549"/>
      <c r="AI68" s="549"/>
      <c r="AJ68" s="549"/>
      <c r="AK68" s="549"/>
      <c r="AL68" s="549"/>
      <c r="AM68" s="549"/>
      <c r="AN68" s="549"/>
      <c r="AO68" s="549"/>
      <c r="AP68" s="549"/>
      <c r="AQ68" s="549"/>
      <c r="AR68" s="549"/>
      <c r="AS68" s="549"/>
      <c r="AT68" s="549"/>
      <c r="AU68" s="549"/>
      <c r="AV68" s="549"/>
      <c r="AW68" s="549"/>
      <c r="AX68" s="549"/>
      <c r="AY68" s="549"/>
      <c r="AZ68" s="549"/>
      <c r="BA68" s="549"/>
      <c r="BB68" s="549"/>
      <c r="BC68" s="549"/>
      <c r="BD68" s="549"/>
      <c r="BE68" s="549"/>
      <c r="BF68" s="549"/>
      <c r="BG68" s="549"/>
      <c r="BH68" s="549"/>
      <c r="BI68" s="549"/>
      <c r="BJ68" s="549"/>
      <c r="BK68" s="549"/>
      <c r="BL68" s="549"/>
      <c r="BM68" s="549"/>
      <c r="BN68" s="549"/>
      <c r="BO68" s="549"/>
      <c r="BP68" s="549"/>
      <c r="BQ68" s="549"/>
      <c r="BR68" s="549"/>
      <c r="BS68" s="549"/>
      <c r="BT68" s="549"/>
      <c r="BU68" s="549"/>
      <c r="BV68" s="549"/>
      <c r="BW68" s="549"/>
      <c r="BX68" s="549"/>
      <c r="BY68" s="549"/>
      <c r="BZ68" s="549"/>
      <c r="CA68" s="549"/>
    </row>
    <row r="69" spans="1:79" ht="15.75" customHeight="1">
      <c r="A69" s="614"/>
      <c r="B69" s="549"/>
      <c r="C69" s="549"/>
      <c r="D69" s="549"/>
      <c r="E69" s="549"/>
      <c r="F69" s="549"/>
      <c r="G69" s="549"/>
      <c r="H69" s="549"/>
      <c r="I69" s="549"/>
      <c r="J69" s="549"/>
      <c r="K69" s="549"/>
      <c r="L69" s="549"/>
      <c r="M69" s="549"/>
      <c r="N69" s="549"/>
      <c r="O69" s="549"/>
      <c r="P69" s="549"/>
      <c r="Q69" s="549"/>
      <c r="R69" s="549"/>
      <c r="S69" s="549"/>
      <c r="T69" s="549"/>
      <c r="U69" s="549"/>
      <c r="V69" s="549"/>
      <c r="W69" s="549"/>
      <c r="X69" s="549"/>
      <c r="Y69" s="549"/>
      <c r="Z69" s="549"/>
      <c r="AA69" s="549"/>
      <c r="AB69" s="549"/>
      <c r="AC69" s="549"/>
      <c r="AD69" s="549"/>
      <c r="AE69" s="549"/>
      <c r="AF69" s="549"/>
      <c r="AG69" s="549"/>
      <c r="AH69" s="549"/>
      <c r="AI69" s="549"/>
      <c r="AJ69" s="549"/>
      <c r="AK69" s="549"/>
      <c r="AL69" s="549"/>
      <c r="AM69" s="549"/>
      <c r="AN69" s="549"/>
      <c r="AO69" s="549"/>
      <c r="AP69" s="549"/>
      <c r="AQ69" s="549"/>
      <c r="AR69" s="549"/>
      <c r="AS69" s="549"/>
      <c r="AT69" s="549"/>
      <c r="AU69" s="549"/>
      <c r="AV69" s="549"/>
      <c r="AW69" s="549"/>
      <c r="AX69" s="549"/>
      <c r="AY69" s="549"/>
      <c r="AZ69" s="549"/>
      <c r="BA69" s="549"/>
      <c r="BB69" s="549"/>
      <c r="BC69" s="549"/>
      <c r="BD69" s="549"/>
      <c r="BE69" s="549"/>
      <c r="BF69" s="549"/>
      <c r="BG69" s="549"/>
      <c r="BH69" s="549"/>
      <c r="BI69" s="549"/>
      <c r="BJ69" s="549"/>
      <c r="BK69" s="549"/>
      <c r="BL69" s="549"/>
      <c r="BM69" s="549"/>
      <c r="BN69" s="549"/>
      <c r="BO69" s="549"/>
      <c r="BP69" s="549"/>
      <c r="BQ69" s="549"/>
      <c r="BR69" s="549"/>
      <c r="BS69" s="549"/>
      <c r="BT69" s="549"/>
      <c r="BU69" s="549"/>
      <c r="BV69" s="549"/>
      <c r="BW69" s="549"/>
      <c r="BX69" s="549"/>
      <c r="BY69" s="549"/>
      <c r="BZ69" s="549"/>
      <c r="CA69" s="549"/>
    </row>
    <row r="70" spans="1:79" ht="15.75" customHeight="1">
      <c r="A70" s="614"/>
      <c r="B70" s="549"/>
      <c r="C70" s="549"/>
      <c r="D70" s="549"/>
      <c r="E70" s="549"/>
      <c r="F70" s="549"/>
      <c r="G70" s="549"/>
      <c r="H70" s="549"/>
      <c r="I70" s="549"/>
      <c r="J70" s="549"/>
      <c r="K70" s="549"/>
      <c r="L70" s="549"/>
      <c r="M70" s="549"/>
      <c r="N70" s="549"/>
      <c r="O70" s="549"/>
      <c r="P70" s="549"/>
      <c r="Q70" s="549"/>
      <c r="R70" s="549"/>
      <c r="S70" s="549"/>
      <c r="T70" s="549"/>
      <c r="U70" s="549"/>
      <c r="V70" s="549"/>
      <c r="W70" s="549"/>
      <c r="X70" s="549"/>
      <c r="Y70" s="549"/>
      <c r="Z70" s="549"/>
      <c r="AA70" s="549"/>
      <c r="AB70" s="549"/>
      <c r="AC70" s="549"/>
      <c r="AD70" s="549"/>
      <c r="AE70" s="549"/>
      <c r="AF70" s="549"/>
      <c r="AG70" s="549"/>
      <c r="AH70" s="549"/>
      <c r="AI70" s="549"/>
      <c r="AJ70" s="549"/>
      <c r="AK70" s="549"/>
      <c r="AL70" s="549"/>
      <c r="AM70" s="549"/>
      <c r="AN70" s="549"/>
      <c r="AO70" s="549"/>
      <c r="AP70" s="549"/>
      <c r="AQ70" s="549"/>
      <c r="AR70" s="549"/>
      <c r="AS70" s="549"/>
      <c r="AT70" s="549"/>
      <c r="AU70" s="549"/>
      <c r="AV70" s="549"/>
      <c r="AW70" s="549"/>
      <c r="AX70" s="549"/>
      <c r="AY70" s="549"/>
      <c r="AZ70" s="549"/>
      <c r="BA70" s="549"/>
      <c r="BB70" s="549"/>
      <c r="BC70" s="549"/>
      <c r="BD70" s="549"/>
      <c r="BE70" s="549"/>
      <c r="BF70" s="549"/>
      <c r="BG70" s="549"/>
      <c r="BH70" s="549"/>
      <c r="BI70" s="549"/>
      <c r="BJ70" s="549"/>
      <c r="BK70" s="549"/>
      <c r="BL70" s="549"/>
      <c r="BM70" s="549"/>
      <c r="BN70" s="549"/>
      <c r="BO70" s="549"/>
      <c r="BP70" s="549"/>
      <c r="BQ70" s="549"/>
      <c r="BR70" s="549"/>
      <c r="BS70" s="549"/>
      <c r="BT70" s="549"/>
      <c r="BU70" s="549"/>
      <c r="BV70" s="549"/>
      <c r="BW70" s="549"/>
      <c r="BX70" s="549"/>
      <c r="BY70" s="549"/>
      <c r="BZ70" s="549"/>
      <c r="CA70" s="549"/>
    </row>
    <row r="71" spans="1:79" ht="15.75" customHeight="1">
      <c r="A71" s="614"/>
      <c r="B71" s="549"/>
      <c r="C71" s="549"/>
      <c r="D71" s="549"/>
      <c r="E71" s="549"/>
      <c r="F71" s="549"/>
      <c r="G71" s="549"/>
      <c r="H71" s="549"/>
      <c r="I71" s="549"/>
      <c r="J71" s="549"/>
      <c r="K71" s="549"/>
      <c r="L71" s="549"/>
      <c r="M71" s="549"/>
      <c r="N71" s="549"/>
      <c r="O71" s="549"/>
      <c r="P71" s="549"/>
      <c r="Q71" s="549"/>
      <c r="R71" s="549"/>
      <c r="S71" s="549"/>
      <c r="T71" s="549"/>
      <c r="U71" s="549"/>
      <c r="V71" s="549"/>
      <c r="W71" s="549"/>
      <c r="X71" s="549"/>
      <c r="Y71" s="549"/>
      <c r="Z71" s="549"/>
      <c r="AA71" s="549"/>
      <c r="AB71" s="549"/>
      <c r="AC71" s="549"/>
      <c r="AD71" s="549"/>
      <c r="AE71" s="549"/>
      <c r="AF71" s="549"/>
      <c r="AG71" s="549"/>
      <c r="AH71" s="549"/>
      <c r="AI71" s="549"/>
      <c r="AJ71" s="549"/>
      <c r="AK71" s="549"/>
      <c r="AL71" s="549"/>
      <c r="AM71" s="549"/>
      <c r="AN71" s="549"/>
      <c r="AO71" s="549"/>
      <c r="AP71" s="549"/>
      <c r="AQ71" s="549"/>
      <c r="AR71" s="549"/>
      <c r="AS71" s="549"/>
      <c r="AT71" s="549"/>
      <c r="AU71" s="549"/>
      <c r="AV71" s="549"/>
      <c r="AW71" s="549"/>
      <c r="AX71" s="549"/>
      <c r="AY71" s="549"/>
      <c r="AZ71" s="549"/>
      <c r="BA71" s="549"/>
      <c r="BB71" s="549"/>
      <c r="BC71" s="549"/>
      <c r="BD71" s="549"/>
      <c r="BE71" s="549"/>
      <c r="BF71" s="549"/>
      <c r="BG71" s="549"/>
      <c r="BH71" s="549"/>
      <c r="BI71" s="549"/>
      <c r="BJ71" s="549"/>
      <c r="BK71" s="549"/>
      <c r="BL71" s="549"/>
      <c r="BM71" s="549"/>
      <c r="BN71" s="549"/>
      <c r="BO71" s="549"/>
      <c r="BP71" s="549"/>
      <c r="BQ71" s="549"/>
      <c r="BR71" s="549"/>
      <c r="BS71" s="549"/>
      <c r="BT71" s="549"/>
      <c r="BU71" s="549"/>
      <c r="BV71" s="549"/>
      <c r="BW71" s="549"/>
      <c r="BX71" s="549"/>
      <c r="BY71" s="549"/>
      <c r="BZ71" s="549"/>
      <c r="CA71" s="549"/>
    </row>
    <row r="72" spans="1:79" ht="15.75" customHeight="1">
      <c r="A72" s="614"/>
      <c r="B72" s="549"/>
      <c r="C72" s="549"/>
      <c r="D72" s="549"/>
      <c r="E72" s="549"/>
      <c r="F72" s="549"/>
      <c r="G72" s="549"/>
      <c r="H72" s="549"/>
      <c r="I72" s="549"/>
      <c r="J72" s="549"/>
      <c r="K72" s="549"/>
      <c r="L72" s="549"/>
      <c r="M72" s="549"/>
      <c r="N72" s="549"/>
      <c r="O72" s="549"/>
      <c r="P72" s="549"/>
      <c r="Q72" s="549"/>
      <c r="R72" s="549"/>
      <c r="S72" s="549"/>
      <c r="T72" s="549"/>
      <c r="U72" s="549"/>
      <c r="V72" s="549"/>
      <c r="W72" s="549"/>
      <c r="X72" s="549"/>
      <c r="Y72" s="549"/>
      <c r="Z72" s="549"/>
      <c r="AA72" s="549"/>
      <c r="AB72" s="549"/>
      <c r="AC72" s="549"/>
      <c r="AD72" s="549"/>
      <c r="AE72" s="549"/>
      <c r="AF72" s="549"/>
      <c r="AG72" s="549"/>
      <c r="AH72" s="549"/>
      <c r="AI72" s="549"/>
      <c r="AJ72" s="549"/>
      <c r="AK72" s="549"/>
      <c r="AL72" s="549"/>
      <c r="AM72" s="549"/>
      <c r="AN72" s="549"/>
      <c r="AO72" s="549"/>
      <c r="AP72" s="549"/>
      <c r="AQ72" s="549"/>
      <c r="AR72" s="549"/>
      <c r="AS72" s="549"/>
      <c r="AT72" s="549"/>
      <c r="AU72" s="549"/>
      <c r="AV72" s="549"/>
      <c r="AW72" s="549"/>
      <c r="AX72" s="549"/>
      <c r="AY72" s="549"/>
      <c r="AZ72" s="549"/>
      <c r="BA72" s="549"/>
      <c r="BB72" s="549"/>
      <c r="BC72" s="549"/>
      <c r="BD72" s="549"/>
      <c r="BE72" s="549"/>
      <c r="BF72" s="549"/>
      <c r="BG72" s="549"/>
      <c r="BH72" s="549"/>
      <c r="BI72" s="549"/>
      <c r="BJ72" s="549"/>
      <c r="BK72" s="549"/>
      <c r="BL72" s="549"/>
      <c r="BM72" s="549"/>
      <c r="BN72" s="549"/>
      <c r="BO72" s="549"/>
      <c r="BP72" s="549"/>
      <c r="BQ72" s="549"/>
      <c r="BR72" s="549"/>
      <c r="BS72" s="549"/>
      <c r="BT72" s="549"/>
      <c r="BU72" s="549"/>
      <c r="BV72" s="549"/>
      <c r="BW72" s="549"/>
      <c r="BX72" s="549"/>
      <c r="BY72" s="549"/>
      <c r="BZ72" s="549"/>
      <c r="CA72" s="549"/>
    </row>
    <row r="73" spans="1:79" ht="15.75" customHeight="1">
      <c r="A73" s="614"/>
      <c r="B73" s="549"/>
      <c r="C73" s="549"/>
      <c r="D73" s="549"/>
      <c r="E73" s="549"/>
      <c r="F73" s="549"/>
      <c r="G73" s="549"/>
      <c r="H73" s="549"/>
      <c r="I73" s="549"/>
      <c r="J73" s="549"/>
      <c r="K73" s="549"/>
      <c r="L73" s="549"/>
      <c r="M73" s="549"/>
      <c r="N73" s="549"/>
      <c r="O73" s="549"/>
      <c r="P73" s="549"/>
      <c r="Q73" s="549"/>
      <c r="R73" s="549"/>
      <c r="S73" s="549"/>
      <c r="T73" s="549"/>
      <c r="U73" s="549"/>
      <c r="V73" s="549"/>
      <c r="W73" s="549"/>
      <c r="X73" s="549"/>
      <c r="Y73" s="549"/>
      <c r="Z73" s="549"/>
      <c r="AA73" s="549"/>
      <c r="AB73" s="549"/>
      <c r="AC73" s="549"/>
      <c r="AD73" s="549"/>
      <c r="AE73" s="549"/>
      <c r="AF73" s="549"/>
      <c r="AG73" s="549"/>
      <c r="AH73" s="549"/>
      <c r="AI73" s="549"/>
      <c r="AJ73" s="549"/>
      <c r="AK73" s="549"/>
      <c r="AL73" s="549"/>
      <c r="AM73" s="549"/>
      <c r="AN73" s="549"/>
      <c r="AO73" s="549"/>
      <c r="AP73" s="549"/>
      <c r="AQ73" s="549"/>
      <c r="AR73" s="549"/>
      <c r="AS73" s="549"/>
      <c r="AT73" s="549"/>
      <c r="AU73" s="549"/>
      <c r="AV73" s="549"/>
      <c r="AW73" s="549"/>
      <c r="AX73" s="549"/>
      <c r="AY73" s="549"/>
      <c r="AZ73" s="549"/>
      <c r="BA73" s="549"/>
      <c r="BB73" s="549"/>
      <c r="BC73" s="549"/>
      <c r="BD73" s="549"/>
      <c r="BE73" s="549"/>
      <c r="BF73" s="549"/>
      <c r="BG73" s="549"/>
      <c r="BH73" s="549"/>
      <c r="BI73" s="549"/>
      <c r="BJ73" s="549"/>
      <c r="BK73" s="549"/>
      <c r="BL73" s="549"/>
      <c r="BM73" s="549"/>
      <c r="BN73" s="549"/>
      <c r="BO73" s="549"/>
      <c r="BP73" s="549"/>
      <c r="BQ73" s="549"/>
      <c r="BR73" s="549"/>
      <c r="BS73" s="549"/>
      <c r="BT73" s="549"/>
      <c r="BU73" s="549"/>
      <c r="BV73" s="549"/>
      <c r="BW73" s="549"/>
      <c r="BX73" s="549"/>
      <c r="BY73" s="549"/>
      <c r="BZ73" s="549"/>
      <c r="CA73" s="549"/>
    </row>
    <row r="74" spans="1:79" ht="15.75" customHeight="1">
      <c r="A74" s="614"/>
      <c r="B74" s="549"/>
      <c r="C74" s="549"/>
      <c r="D74" s="549"/>
      <c r="E74" s="549"/>
      <c r="F74" s="549"/>
      <c r="G74" s="549"/>
      <c r="H74" s="549"/>
      <c r="I74" s="549"/>
      <c r="J74" s="549"/>
      <c r="K74" s="549"/>
      <c r="L74" s="549"/>
      <c r="M74" s="549"/>
      <c r="N74" s="549"/>
      <c r="O74" s="549"/>
      <c r="P74" s="549"/>
      <c r="Q74" s="549"/>
      <c r="R74" s="549"/>
      <c r="S74" s="549"/>
      <c r="T74" s="549"/>
      <c r="U74" s="549"/>
      <c r="V74" s="549"/>
      <c r="W74" s="549"/>
      <c r="X74" s="549"/>
      <c r="Y74" s="549"/>
      <c r="Z74" s="549"/>
      <c r="AA74" s="549"/>
      <c r="AB74" s="549"/>
      <c r="AC74" s="549"/>
      <c r="AD74" s="549"/>
      <c r="AE74" s="549"/>
      <c r="AF74" s="549"/>
      <c r="AG74" s="549"/>
      <c r="AH74" s="549"/>
      <c r="AI74" s="549"/>
      <c r="AJ74" s="549"/>
      <c r="AK74" s="549"/>
      <c r="AL74" s="549"/>
      <c r="AM74" s="549"/>
      <c r="AN74" s="549"/>
      <c r="AO74" s="549"/>
      <c r="AP74" s="549"/>
      <c r="AQ74" s="549"/>
      <c r="AR74" s="549"/>
      <c r="AS74" s="549"/>
      <c r="AT74" s="549"/>
      <c r="AU74" s="549"/>
      <c r="AV74" s="549"/>
      <c r="AW74" s="549"/>
      <c r="AX74" s="549"/>
      <c r="AY74" s="549"/>
      <c r="AZ74" s="549"/>
      <c r="BA74" s="549"/>
      <c r="BB74" s="549"/>
      <c r="BC74" s="549"/>
      <c r="BD74" s="549"/>
      <c r="BE74" s="549"/>
      <c r="BF74" s="549"/>
      <c r="BG74" s="549"/>
      <c r="BH74" s="549"/>
      <c r="BI74" s="549"/>
      <c r="BJ74" s="549"/>
      <c r="BK74" s="549"/>
      <c r="BL74" s="549"/>
      <c r="BM74" s="549"/>
      <c r="BN74" s="549"/>
      <c r="BO74" s="549"/>
      <c r="BP74" s="549"/>
      <c r="BQ74" s="549"/>
      <c r="BR74" s="549"/>
      <c r="BS74" s="549"/>
      <c r="BT74" s="549"/>
      <c r="BU74" s="549"/>
      <c r="BV74" s="549"/>
      <c r="BW74" s="549"/>
      <c r="BX74" s="549"/>
      <c r="BY74" s="549"/>
      <c r="BZ74" s="549"/>
      <c r="CA74" s="549"/>
    </row>
    <row r="75" spans="1:79" ht="15.75" customHeight="1">
      <c r="A75" s="614"/>
      <c r="B75" s="549"/>
      <c r="C75" s="549"/>
      <c r="D75" s="549"/>
      <c r="E75" s="549"/>
      <c r="F75" s="549"/>
      <c r="G75" s="549"/>
      <c r="H75" s="549"/>
      <c r="I75" s="549"/>
      <c r="J75" s="549"/>
      <c r="K75" s="549"/>
      <c r="L75" s="549"/>
      <c r="M75" s="549"/>
      <c r="N75" s="549"/>
      <c r="O75" s="549"/>
      <c r="P75" s="549"/>
      <c r="Q75" s="549"/>
      <c r="R75" s="549"/>
      <c r="S75" s="549"/>
      <c r="T75" s="549"/>
      <c r="U75" s="549"/>
      <c r="V75" s="549"/>
      <c r="W75" s="549"/>
      <c r="X75" s="549"/>
      <c r="Y75" s="549"/>
      <c r="Z75" s="549"/>
      <c r="AA75" s="549"/>
      <c r="AB75" s="549"/>
      <c r="AC75" s="549"/>
      <c r="AD75" s="549"/>
      <c r="AE75" s="549"/>
      <c r="AF75" s="549"/>
      <c r="AG75" s="549"/>
      <c r="AH75" s="549"/>
      <c r="AI75" s="549"/>
      <c r="AJ75" s="549"/>
      <c r="AK75" s="549"/>
      <c r="AL75" s="549"/>
      <c r="AM75" s="549"/>
      <c r="AN75" s="549"/>
      <c r="AO75" s="549"/>
      <c r="AP75" s="549"/>
      <c r="AQ75" s="549"/>
      <c r="AR75" s="549"/>
      <c r="AS75" s="549"/>
      <c r="AT75" s="549"/>
      <c r="AU75" s="549"/>
      <c r="AV75" s="549"/>
      <c r="AW75" s="549"/>
      <c r="AX75" s="549"/>
      <c r="AY75" s="549"/>
      <c r="AZ75" s="549"/>
      <c r="BA75" s="549"/>
      <c r="BB75" s="549"/>
      <c r="BC75" s="549"/>
      <c r="BD75" s="549"/>
      <c r="BE75" s="549"/>
      <c r="BF75" s="549"/>
      <c r="BG75" s="549"/>
      <c r="BH75" s="549"/>
      <c r="BI75" s="549"/>
      <c r="BJ75" s="549"/>
      <c r="BK75" s="549"/>
      <c r="BL75" s="549"/>
      <c r="BM75" s="549"/>
      <c r="BN75" s="549"/>
      <c r="BO75" s="549"/>
      <c r="BP75" s="549"/>
      <c r="BQ75" s="549"/>
      <c r="BR75" s="549"/>
      <c r="BS75" s="549"/>
      <c r="BT75" s="549"/>
      <c r="BU75" s="549"/>
      <c r="BV75" s="549"/>
      <c r="BW75" s="549"/>
      <c r="BX75" s="549"/>
      <c r="BY75" s="549"/>
      <c r="BZ75" s="549"/>
      <c r="CA75" s="549"/>
    </row>
    <row r="76" spans="1:79" ht="15.75" customHeight="1">
      <c r="A76" s="614"/>
      <c r="B76" s="549"/>
      <c r="C76" s="549"/>
      <c r="D76" s="549"/>
      <c r="E76" s="549"/>
      <c r="F76" s="549"/>
      <c r="G76" s="549"/>
      <c r="H76" s="549"/>
      <c r="I76" s="549"/>
      <c r="J76" s="549"/>
      <c r="K76" s="549"/>
      <c r="L76" s="549"/>
      <c r="M76" s="549"/>
      <c r="N76" s="549"/>
      <c r="O76" s="549"/>
      <c r="P76" s="549"/>
      <c r="Q76" s="549"/>
      <c r="R76" s="549"/>
      <c r="S76" s="549"/>
      <c r="T76" s="549"/>
      <c r="U76" s="549"/>
      <c r="V76" s="549"/>
      <c r="W76" s="549"/>
      <c r="X76" s="549"/>
      <c r="Y76" s="549"/>
      <c r="Z76" s="549"/>
      <c r="AA76" s="549"/>
      <c r="AB76" s="549"/>
      <c r="AC76" s="549"/>
      <c r="AD76" s="549"/>
      <c r="AE76" s="549"/>
      <c r="AF76" s="549"/>
      <c r="AG76" s="549"/>
      <c r="AH76" s="549"/>
      <c r="AI76" s="549"/>
      <c r="AJ76" s="549"/>
      <c r="AK76" s="549"/>
      <c r="AL76" s="549"/>
      <c r="AM76" s="549"/>
      <c r="AN76" s="549"/>
      <c r="AO76" s="549"/>
      <c r="AP76" s="549"/>
      <c r="AQ76" s="549"/>
      <c r="AR76" s="549"/>
      <c r="AS76" s="549"/>
      <c r="AT76" s="549"/>
      <c r="AU76" s="549"/>
      <c r="AV76" s="549"/>
      <c r="AW76" s="549"/>
      <c r="AX76" s="549"/>
      <c r="AY76" s="549"/>
      <c r="AZ76" s="549"/>
      <c r="BA76" s="549"/>
      <c r="BB76" s="549"/>
      <c r="BC76" s="549"/>
      <c r="BD76" s="549"/>
      <c r="BE76" s="549"/>
      <c r="BF76" s="549"/>
      <c r="BG76" s="549"/>
      <c r="BH76" s="549"/>
      <c r="BI76" s="549"/>
      <c r="BJ76" s="549"/>
      <c r="BK76" s="549"/>
      <c r="BL76" s="549"/>
      <c r="BM76" s="549"/>
      <c r="BN76" s="549"/>
      <c r="BO76" s="549"/>
      <c r="BP76" s="549"/>
      <c r="BQ76" s="549"/>
      <c r="BR76" s="549"/>
      <c r="BS76" s="549"/>
      <c r="BT76" s="549"/>
      <c r="BU76" s="549"/>
      <c r="BV76" s="549"/>
      <c r="BW76" s="549"/>
      <c r="BX76" s="549"/>
      <c r="BY76" s="549"/>
      <c r="BZ76" s="549"/>
      <c r="CA76" s="549"/>
    </row>
    <row r="77" spans="1:79" ht="15.75" customHeight="1">
      <c r="A77" s="614"/>
      <c r="B77" s="549"/>
      <c r="C77" s="549"/>
      <c r="D77" s="549"/>
      <c r="E77" s="549"/>
      <c r="F77" s="549"/>
      <c r="G77" s="549"/>
      <c r="H77" s="549"/>
      <c r="I77" s="549"/>
      <c r="J77" s="549"/>
      <c r="K77" s="549"/>
      <c r="L77" s="549"/>
      <c r="M77" s="549"/>
      <c r="N77" s="549"/>
      <c r="O77" s="549"/>
      <c r="P77" s="549"/>
      <c r="Q77" s="549"/>
      <c r="R77" s="549"/>
      <c r="S77" s="549"/>
      <c r="T77" s="549"/>
      <c r="U77" s="549"/>
      <c r="V77" s="549"/>
      <c r="W77" s="549"/>
      <c r="X77" s="549"/>
      <c r="Y77" s="549"/>
      <c r="Z77" s="549"/>
      <c r="AA77" s="549"/>
      <c r="AB77" s="549"/>
      <c r="AC77" s="549"/>
      <c r="AD77" s="549"/>
      <c r="AE77" s="549"/>
      <c r="AF77" s="549"/>
      <c r="AG77" s="549"/>
      <c r="AH77" s="549"/>
      <c r="AI77" s="549"/>
      <c r="AJ77" s="549"/>
      <c r="AK77" s="549"/>
      <c r="AL77" s="549"/>
      <c r="AM77" s="549"/>
      <c r="AN77" s="549"/>
      <c r="AO77" s="549"/>
      <c r="AP77" s="549"/>
      <c r="AQ77" s="549"/>
      <c r="AR77" s="549"/>
      <c r="AS77" s="549"/>
      <c r="AT77" s="549"/>
      <c r="AU77" s="549"/>
      <c r="AV77" s="549"/>
      <c r="AW77" s="549"/>
      <c r="AX77" s="549"/>
      <c r="AY77" s="549"/>
      <c r="AZ77" s="549"/>
      <c r="BA77" s="549"/>
      <c r="BB77" s="549"/>
      <c r="BC77" s="549"/>
      <c r="BD77" s="549"/>
      <c r="BE77" s="549"/>
      <c r="BF77" s="549"/>
      <c r="BG77" s="549"/>
      <c r="BH77" s="549"/>
      <c r="BI77" s="549"/>
      <c r="BJ77" s="549"/>
      <c r="BK77" s="549"/>
      <c r="BL77" s="549"/>
      <c r="BM77" s="549"/>
      <c r="BN77" s="549"/>
      <c r="BO77" s="549"/>
      <c r="BP77" s="549"/>
      <c r="BQ77" s="549"/>
      <c r="BR77" s="549"/>
      <c r="BS77" s="549"/>
      <c r="BT77" s="549"/>
      <c r="BU77" s="549"/>
      <c r="BV77" s="549"/>
      <c r="BW77" s="549"/>
      <c r="BX77" s="549"/>
      <c r="BY77" s="549"/>
      <c r="BZ77" s="549"/>
      <c r="CA77" s="549"/>
    </row>
    <row r="78" spans="1:79" ht="15.75" customHeight="1">
      <c r="A78" s="614"/>
      <c r="B78" s="549"/>
      <c r="C78" s="549"/>
      <c r="D78" s="549"/>
      <c r="E78" s="549"/>
      <c r="F78" s="549"/>
      <c r="G78" s="549"/>
      <c r="H78" s="549"/>
      <c r="I78" s="549"/>
      <c r="J78" s="549"/>
      <c r="K78" s="549"/>
      <c r="L78" s="549"/>
      <c r="M78" s="549"/>
      <c r="N78" s="549"/>
      <c r="O78" s="549"/>
      <c r="P78" s="549"/>
      <c r="Q78" s="549"/>
      <c r="R78" s="549"/>
      <c r="S78" s="549"/>
      <c r="T78" s="549"/>
      <c r="U78" s="549"/>
      <c r="V78" s="549"/>
      <c r="W78" s="549"/>
      <c r="X78" s="549"/>
      <c r="Y78" s="549"/>
      <c r="Z78" s="549"/>
      <c r="AA78" s="549"/>
      <c r="AB78" s="549"/>
      <c r="AC78" s="549"/>
      <c r="AD78" s="549"/>
      <c r="AE78" s="549"/>
      <c r="AF78" s="549"/>
      <c r="AG78" s="549"/>
      <c r="AH78" s="549"/>
      <c r="AI78" s="549"/>
      <c r="AJ78" s="549"/>
      <c r="AK78" s="549"/>
      <c r="AL78" s="549"/>
      <c r="AM78" s="549"/>
      <c r="AN78" s="549"/>
      <c r="AO78" s="549"/>
      <c r="AP78" s="549"/>
      <c r="AQ78" s="549"/>
      <c r="AR78" s="549"/>
      <c r="AS78" s="549"/>
      <c r="AT78" s="549"/>
      <c r="AU78" s="549"/>
      <c r="AV78" s="549"/>
      <c r="AW78" s="549"/>
      <c r="AX78" s="549"/>
      <c r="AY78" s="549"/>
      <c r="AZ78" s="549"/>
      <c r="BA78" s="549"/>
      <c r="BB78" s="549"/>
      <c r="BC78" s="549"/>
      <c r="BD78" s="549"/>
      <c r="BE78" s="549"/>
      <c r="BF78" s="549"/>
      <c r="BG78" s="549"/>
      <c r="BH78" s="549"/>
      <c r="BI78" s="549"/>
      <c r="BJ78" s="549"/>
      <c r="BK78" s="549"/>
      <c r="BL78" s="549"/>
      <c r="BM78" s="549"/>
      <c r="BN78" s="549"/>
      <c r="BO78" s="549"/>
      <c r="BP78" s="549"/>
      <c r="BQ78" s="549"/>
      <c r="BR78" s="549"/>
      <c r="BS78" s="549"/>
      <c r="BT78" s="549"/>
      <c r="BU78" s="549"/>
      <c r="BV78" s="549"/>
      <c r="BW78" s="549"/>
      <c r="BX78" s="549"/>
      <c r="BY78" s="549"/>
      <c r="BZ78" s="549"/>
      <c r="CA78" s="549"/>
    </row>
    <row r="79" spans="1:79" ht="15.75" customHeight="1">
      <c r="A79" s="614"/>
      <c r="B79" s="549"/>
      <c r="C79" s="549"/>
      <c r="D79" s="549"/>
      <c r="E79" s="549"/>
      <c r="F79" s="549"/>
      <c r="G79" s="549"/>
      <c r="H79" s="549"/>
      <c r="I79" s="549"/>
      <c r="J79" s="549"/>
      <c r="K79" s="549"/>
      <c r="L79" s="549"/>
      <c r="M79" s="549"/>
      <c r="N79" s="549"/>
      <c r="O79" s="549"/>
      <c r="P79" s="549"/>
      <c r="Q79" s="549"/>
      <c r="R79" s="549"/>
      <c r="S79" s="549"/>
      <c r="T79" s="549"/>
      <c r="U79" s="549"/>
      <c r="V79" s="549"/>
      <c r="W79" s="549"/>
      <c r="X79" s="549"/>
      <c r="Y79" s="549"/>
      <c r="Z79" s="549"/>
      <c r="AA79" s="549"/>
      <c r="AB79" s="549"/>
      <c r="AC79" s="549"/>
      <c r="AD79" s="549"/>
      <c r="AE79" s="549"/>
      <c r="AF79" s="549"/>
      <c r="AG79" s="549"/>
      <c r="AH79" s="549"/>
      <c r="AI79" s="549"/>
      <c r="AJ79" s="549"/>
      <c r="AK79" s="549"/>
      <c r="AL79" s="549"/>
      <c r="AM79" s="549"/>
      <c r="AN79" s="549"/>
      <c r="AO79" s="549"/>
      <c r="AP79" s="549"/>
      <c r="AQ79" s="549"/>
      <c r="AR79" s="549"/>
      <c r="AS79" s="549"/>
      <c r="AT79" s="549"/>
      <c r="AU79" s="549"/>
      <c r="AV79" s="549"/>
      <c r="AW79" s="549"/>
      <c r="AX79" s="549"/>
      <c r="AY79" s="549"/>
      <c r="AZ79" s="549"/>
      <c r="BA79" s="549"/>
      <c r="BB79" s="549"/>
      <c r="BC79" s="549"/>
      <c r="BD79" s="549"/>
      <c r="BE79" s="549"/>
      <c r="BF79" s="549"/>
      <c r="BG79" s="549"/>
      <c r="BH79" s="549"/>
      <c r="BI79" s="549"/>
      <c r="BJ79" s="549"/>
      <c r="BK79" s="549"/>
      <c r="BL79" s="549"/>
      <c r="BM79" s="549"/>
      <c r="BN79" s="549"/>
      <c r="BO79" s="549"/>
      <c r="BP79" s="549"/>
      <c r="BQ79" s="549"/>
      <c r="BR79" s="549"/>
      <c r="BS79" s="549"/>
      <c r="BT79" s="549"/>
      <c r="BU79" s="549"/>
      <c r="BV79" s="549"/>
      <c r="BW79" s="549"/>
      <c r="BX79" s="549"/>
      <c r="BY79" s="549"/>
      <c r="BZ79" s="549"/>
      <c r="CA79" s="549"/>
    </row>
    <row r="80" spans="1:79" ht="15.75" customHeight="1">
      <c r="A80" s="614"/>
      <c r="B80" s="549"/>
      <c r="C80" s="549"/>
      <c r="D80" s="549"/>
      <c r="E80" s="549"/>
      <c r="F80" s="549"/>
      <c r="G80" s="549"/>
      <c r="H80" s="549"/>
      <c r="I80" s="549"/>
      <c r="J80" s="549"/>
      <c r="K80" s="549"/>
      <c r="L80" s="549"/>
      <c r="M80" s="549"/>
      <c r="N80" s="549"/>
      <c r="O80" s="549"/>
      <c r="P80" s="549"/>
      <c r="Q80" s="549"/>
      <c r="R80" s="549"/>
      <c r="S80" s="549"/>
      <c r="T80" s="549"/>
      <c r="U80" s="549"/>
      <c r="V80" s="549"/>
      <c r="W80" s="549"/>
      <c r="X80" s="549"/>
      <c r="Y80" s="549"/>
      <c r="Z80" s="549"/>
      <c r="AA80" s="549"/>
      <c r="AB80" s="549"/>
      <c r="AC80" s="549"/>
      <c r="AD80" s="549"/>
      <c r="AE80" s="549"/>
      <c r="AF80" s="549"/>
      <c r="AG80" s="549"/>
      <c r="AH80" s="549"/>
      <c r="AI80" s="549"/>
      <c r="AJ80" s="549"/>
      <c r="AK80" s="549"/>
      <c r="AL80" s="549"/>
      <c r="AM80" s="549"/>
      <c r="AN80" s="549"/>
      <c r="AO80" s="549"/>
      <c r="AP80" s="549"/>
      <c r="AQ80" s="549"/>
      <c r="AR80" s="549"/>
      <c r="AS80" s="549"/>
      <c r="AT80" s="549"/>
      <c r="AU80" s="549"/>
      <c r="AV80" s="549"/>
      <c r="AW80" s="549"/>
      <c r="AX80" s="549"/>
      <c r="AY80" s="549"/>
      <c r="AZ80" s="549"/>
      <c r="BA80" s="549"/>
      <c r="BB80" s="549"/>
      <c r="BC80" s="549"/>
      <c r="BD80" s="549"/>
      <c r="BE80" s="549"/>
      <c r="BF80" s="549"/>
      <c r="BG80" s="549"/>
      <c r="BH80" s="549"/>
      <c r="BI80" s="549"/>
      <c r="BJ80" s="549"/>
      <c r="BK80" s="549"/>
      <c r="BL80" s="549"/>
      <c r="BM80" s="549"/>
      <c r="BN80" s="549"/>
      <c r="BO80" s="549"/>
      <c r="BP80" s="549"/>
      <c r="BQ80" s="549"/>
      <c r="BR80" s="549"/>
      <c r="BS80" s="549"/>
      <c r="BT80" s="549"/>
      <c r="BU80" s="549"/>
      <c r="BV80" s="549"/>
      <c r="BW80" s="549"/>
      <c r="BX80" s="549"/>
      <c r="BY80" s="549"/>
      <c r="BZ80" s="549"/>
      <c r="CA80" s="549"/>
    </row>
    <row r="81" spans="1:79" ht="15.75" customHeight="1">
      <c r="A81" s="614"/>
      <c r="B81" s="549"/>
      <c r="C81" s="549"/>
      <c r="D81" s="549"/>
      <c r="E81" s="549"/>
      <c r="F81" s="549"/>
      <c r="G81" s="549"/>
      <c r="H81" s="549"/>
      <c r="I81" s="549"/>
      <c r="J81" s="549"/>
      <c r="K81" s="549"/>
      <c r="L81" s="549"/>
      <c r="M81" s="549"/>
      <c r="N81" s="549"/>
      <c r="O81" s="549"/>
      <c r="P81" s="549"/>
      <c r="Q81" s="549"/>
      <c r="R81" s="549"/>
      <c r="S81" s="549"/>
      <c r="T81" s="549"/>
      <c r="U81" s="549"/>
      <c r="V81" s="549"/>
      <c r="W81" s="549"/>
      <c r="X81" s="549"/>
      <c r="Y81" s="549"/>
      <c r="Z81" s="549"/>
      <c r="AA81" s="549"/>
      <c r="AB81" s="549"/>
      <c r="AC81" s="549"/>
      <c r="AD81" s="549"/>
      <c r="AE81" s="549"/>
      <c r="AF81" s="549"/>
      <c r="AG81" s="549"/>
      <c r="AH81" s="549"/>
      <c r="AI81" s="549"/>
      <c r="AJ81" s="549"/>
      <c r="AK81" s="549"/>
      <c r="AL81" s="549"/>
      <c r="AM81" s="549"/>
      <c r="AN81" s="549"/>
      <c r="AO81" s="549"/>
      <c r="AP81" s="549"/>
      <c r="AQ81" s="549"/>
      <c r="AR81" s="549"/>
      <c r="AS81" s="549"/>
      <c r="AT81" s="549"/>
      <c r="AU81" s="549"/>
      <c r="AV81" s="549"/>
      <c r="AW81" s="549"/>
      <c r="AX81" s="549"/>
      <c r="AY81" s="549"/>
      <c r="AZ81" s="549"/>
      <c r="BA81" s="549"/>
      <c r="BB81" s="549"/>
      <c r="BC81" s="549"/>
      <c r="BD81" s="549"/>
      <c r="BE81" s="549"/>
      <c r="BF81" s="549"/>
      <c r="BG81" s="549"/>
      <c r="BH81" s="549"/>
      <c r="BI81" s="549"/>
      <c r="BJ81" s="549"/>
      <c r="BK81" s="549"/>
      <c r="BL81" s="549"/>
      <c r="BM81" s="549"/>
      <c r="BN81" s="549"/>
      <c r="BO81" s="549"/>
      <c r="BP81" s="549"/>
      <c r="BQ81" s="549"/>
      <c r="BR81" s="549"/>
      <c r="BS81" s="549"/>
      <c r="BT81" s="549"/>
      <c r="BU81" s="549"/>
      <c r="BV81" s="549"/>
      <c r="BW81" s="549"/>
      <c r="BX81" s="549"/>
      <c r="BY81" s="549"/>
      <c r="BZ81" s="549"/>
      <c r="CA81" s="549"/>
    </row>
    <row r="82" spans="1:79" ht="15.75" customHeight="1">
      <c r="A82" s="614"/>
      <c r="B82" s="549"/>
      <c r="C82" s="549"/>
      <c r="D82" s="549"/>
      <c r="E82" s="549"/>
      <c r="F82" s="549"/>
      <c r="G82" s="549"/>
      <c r="H82" s="549"/>
      <c r="I82" s="549"/>
      <c r="J82" s="549"/>
      <c r="K82" s="549"/>
      <c r="L82" s="549"/>
      <c r="M82" s="549"/>
      <c r="N82" s="549"/>
      <c r="O82" s="549"/>
      <c r="P82" s="549"/>
      <c r="Q82" s="549"/>
      <c r="R82" s="549"/>
      <c r="S82" s="549"/>
      <c r="T82" s="549"/>
      <c r="U82" s="549"/>
      <c r="V82" s="549"/>
      <c r="W82" s="549"/>
      <c r="X82" s="549"/>
      <c r="Y82" s="549"/>
      <c r="Z82" s="549"/>
      <c r="AA82" s="549"/>
      <c r="AB82" s="549"/>
      <c r="AC82" s="549"/>
      <c r="AD82" s="549"/>
      <c r="AE82" s="549"/>
      <c r="AF82" s="549"/>
      <c r="AG82" s="549"/>
      <c r="AH82" s="549"/>
      <c r="AI82" s="549"/>
      <c r="AJ82" s="549"/>
      <c r="AK82" s="549"/>
      <c r="AL82" s="549"/>
      <c r="AM82" s="549"/>
      <c r="AN82" s="549"/>
      <c r="AO82" s="549"/>
      <c r="AP82" s="549"/>
      <c r="AQ82" s="549"/>
      <c r="AR82" s="549"/>
      <c r="AS82" s="549"/>
      <c r="AT82" s="549"/>
      <c r="AU82" s="549"/>
      <c r="AV82" s="549"/>
      <c r="AW82" s="549"/>
      <c r="AX82" s="549"/>
      <c r="AY82" s="549"/>
      <c r="AZ82" s="549"/>
      <c r="BA82" s="549"/>
      <c r="BB82" s="549"/>
      <c r="BC82" s="549"/>
      <c r="BD82" s="549"/>
      <c r="BE82" s="549"/>
      <c r="BF82" s="549"/>
      <c r="BG82" s="549"/>
      <c r="BH82" s="549"/>
      <c r="BI82" s="549"/>
      <c r="BJ82" s="549"/>
      <c r="BK82" s="549"/>
      <c r="BL82" s="549"/>
      <c r="BM82" s="549"/>
      <c r="BN82" s="549"/>
      <c r="BO82" s="549"/>
      <c r="BP82" s="549"/>
      <c r="BQ82" s="549"/>
      <c r="BR82" s="549"/>
      <c r="BS82" s="549"/>
      <c r="BT82" s="549"/>
      <c r="BU82" s="549"/>
      <c r="BV82" s="549"/>
      <c r="BW82" s="549"/>
      <c r="BX82" s="549"/>
      <c r="BY82" s="549"/>
      <c r="BZ82" s="549"/>
      <c r="CA82" s="549"/>
    </row>
    <row r="83" spans="1:79" ht="15.75" customHeight="1">
      <c r="A83" s="614"/>
      <c r="B83" s="549"/>
      <c r="C83" s="549"/>
      <c r="D83" s="549"/>
      <c r="E83" s="549"/>
      <c r="F83" s="549"/>
      <c r="G83" s="549"/>
      <c r="H83" s="549"/>
      <c r="I83" s="549"/>
      <c r="J83" s="549"/>
      <c r="K83" s="549"/>
      <c r="L83" s="549"/>
      <c r="M83" s="549"/>
      <c r="N83" s="549"/>
      <c r="O83" s="549"/>
      <c r="P83" s="549"/>
      <c r="Q83" s="549"/>
      <c r="R83" s="549"/>
      <c r="S83" s="549"/>
      <c r="T83" s="549"/>
      <c r="U83" s="549"/>
      <c r="V83" s="549"/>
      <c r="W83" s="549"/>
      <c r="X83" s="549"/>
      <c r="Y83" s="549"/>
      <c r="Z83" s="549"/>
      <c r="AA83" s="549"/>
      <c r="AB83" s="549"/>
      <c r="AC83" s="549"/>
      <c r="AD83" s="549"/>
      <c r="AE83" s="549"/>
      <c r="AF83" s="549"/>
      <c r="AG83" s="549"/>
      <c r="AH83" s="549"/>
      <c r="AI83" s="549"/>
      <c r="AJ83" s="549"/>
      <c r="AK83" s="549"/>
      <c r="AL83" s="549"/>
      <c r="AM83" s="549"/>
      <c r="AN83" s="549"/>
      <c r="AO83" s="549"/>
      <c r="AP83" s="549"/>
      <c r="AQ83" s="549"/>
      <c r="AR83" s="549"/>
      <c r="AS83" s="549"/>
      <c r="AT83" s="549"/>
      <c r="AU83" s="549"/>
      <c r="AV83" s="549"/>
      <c r="AW83" s="549"/>
      <c r="AX83" s="549"/>
      <c r="AY83" s="549"/>
      <c r="AZ83" s="549"/>
      <c r="BA83" s="549"/>
      <c r="BB83" s="549"/>
      <c r="BC83" s="549"/>
      <c r="BD83" s="549"/>
      <c r="BE83" s="549"/>
      <c r="BF83" s="549"/>
      <c r="BG83" s="549"/>
      <c r="BH83" s="549"/>
      <c r="BI83" s="549"/>
      <c r="BJ83" s="549"/>
      <c r="BK83" s="549"/>
      <c r="BL83" s="549"/>
      <c r="BM83" s="549"/>
      <c r="BN83" s="549"/>
      <c r="BO83" s="549"/>
      <c r="BP83" s="549"/>
      <c r="BQ83" s="549"/>
      <c r="BR83" s="549"/>
      <c r="BS83" s="549"/>
      <c r="BT83" s="549"/>
      <c r="BU83" s="549"/>
      <c r="BV83" s="549"/>
      <c r="BW83" s="549"/>
      <c r="BX83" s="549"/>
      <c r="BY83" s="549"/>
      <c r="BZ83" s="549"/>
      <c r="CA83" s="549"/>
    </row>
    <row r="84" spans="1:79" ht="15.75" customHeight="1">
      <c r="A84" s="614"/>
      <c r="B84" s="549"/>
      <c r="C84" s="549"/>
      <c r="D84" s="549"/>
      <c r="E84" s="549"/>
      <c r="F84" s="549"/>
      <c r="G84" s="549"/>
      <c r="H84" s="549"/>
      <c r="I84" s="549"/>
      <c r="J84" s="549"/>
      <c r="K84" s="549"/>
      <c r="L84" s="549"/>
      <c r="M84" s="549"/>
      <c r="N84" s="549"/>
      <c r="O84" s="549"/>
      <c r="P84" s="549"/>
      <c r="Q84" s="549"/>
      <c r="R84" s="549"/>
      <c r="S84" s="549"/>
      <c r="T84" s="549"/>
      <c r="U84" s="549"/>
      <c r="V84" s="549"/>
      <c r="W84" s="549"/>
      <c r="X84" s="549"/>
      <c r="Y84" s="549"/>
      <c r="Z84" s="549"/>
      <c r="AA84" s="549"/>
      <c r="AB84" s="549"/>
      <c r="AC84" s="549"/>
      <c r="AD84" s="549"/>
      <c r="AE84" s="549"/>
      <c r="AF84" s="549"/>
      <c r="AG84" s="549"/>
      <c r="AH84" s="549"/>
      <c r="AI84" s="549"/>
      <c r="AJ84" s="549"/>
      <c r="AK84" s="549"/>
      <c r="AL84" s="549"/>
      <c r="AM84" s="549"/>
      <c r="AN84" s="549"/>
      <c r="AO84" s="549"/>
      <c r="AP84" s="549"/>
      <c r="AQ84" s="549"/>
      <c r="AR84" s="549"/>
      <c r="AS84" s="549"/>
      <c r="AT84" s="549"/>
      <c r="AU84" s="549"/>
      <c r="AV84" s="549"/>
      <c r="AW84" s="549"/>
      <c r="AX84" s="549"/>
      <c r="AY84" s="549"/>
      <c r="AZ84" s="549"/>
      <c r="BA84" s="549"/>
      <c r="BB84" s="549"/>
      <c r="BC84" s="549"/>
      <c r="BD84" s="549"/>
      <c r="BE84" s="549"/>
      <c r="BF84" s="549"/>
      <c r="BG84" s="549"/>
      <c r="BH84" s="549"/>
      <c r="BI84" s="549"/>
      <c r="BJ84" s="549"/>
      <c r="BK84" s="549"/>
      <c r="BL84" s="549"/>
      <c r="BM84" s="549"/>
      <c r="BN84" s="549"/>
      <c r="BO84" s="549"/>
      <c r="BP84" s="549"/>
      <c r="BQ84" s="549"/>
      <c r="BR84" s="549"/>
      <c r="BS84" s="549"/>
      <c r="BT84" s="549"/>
      <c r="BU84" s="549"/>
      <c r="BV84" s="549"/>
      <c r="BW84" s="549"/>
      <c r="BX84" s="549"/>
      <c r="BY84" s="549"/>
      <c r="BZ84" s="549"/>
      <c r="CA84" s="549"/>
    </row>
    <row r="85" spans="1:79" ht="15.75" customHeight="1">
      <c r="A85" s="614"/>
      <c r="B85" s="549"/>
      <c r="C85" s="549"/>
      <c r="D85" s="549"/>
      <c r="E85" s="549"/>
      <c r="F85" s="549"/>
      <c r="G85" s="549"/>
      <c r="H85" s="549"/>
      <c r="I85" s="549"/>
      <c r="J85" s="549"/>
      <c r="K85" s="549"/>
      <c r="L85" s="549"/>
      <c r="M85" s="549"/>
      <c r="N85" s="549"/>
      <c r="O85" s="549"/>
      <c r="P85" s="549"/>
      <c r="Q85" s="549"/>
      <c r="R85" s="549"/>
      <c r="S85" s="549"/>
      <c r="T85" s="549"/>
      <c r="U85" s="549"/>
      <c r="V85" s="549"/>
      <c r="W85" s="549"/>
      <c r="X85" s="549"/>
      <c r="Y85" s="549"/>
      <c r="Z85" s="549"/>
      <c r="AA85" s="549"/>
      <c r="AB85" s="549"/>
      <c r="AC85" s="549"/>
      <c r="AD85" s="549"/>
      <c r="AE85" s="549"/>
      <c r="AF85" s="549"/>
      <c r="AG85" s="549"/>
      <c r="AH85" s="549"/>
      <c r="AI85" s="549"/>
      <c r="AJ85" s="549"/>
      <c r="AK85" s="549"/>
      <c r="AL85" s="549"/>
      <c r="AM85" s="549"/>
      <c r="AN85" s="549"/>
      <c r="AO85" s="549"/>
      <c r="AP85" s="549"/>
      <c r="AQ85" s="549"/>
      <c r="AR85" s="549"/>
      <c r="AS85" s="549"/>
      <c r="AT85" s="549"/>
      <c r="AU85" s="549"/>
      <c r="AV85" s="549"/>
      <c r="AW85" s="549"/>
      <c r="AX85" s="549"/>
      <c r="AY85" s="549"/>
      <c r="AZ85" s="549"/>
      <c r="BA85" s="549"/>
      <c r="BB85" s="549"/>
      <c r="BC85" s="549"/>
      <c r="BD85" s="549"/>
      <c r="BE85" s="549"/>
      <c r="BF85" s="549"/>
      <c r="BG85" s="549"/>
      <c r="BH85" s="549"/>
      <c r="BI85" s="549"/>
      <c r="BJ85" s="549"/>
      <c r="BK85" s="549"/>
      <c r="BL85" s="549"/>
      <c r="BM85" s="549"/>
      <c r="BN85" s="549"/>
      <c r="BO85" s="549"/>
      <c r="BP85" s="549"/>
      <c r="BQ85" s="549"/>
      <c r="BR85" s="549"/>
      <c r="BS85" s="549"/>
      <c r="BT85" s="549"/>
      <c r="BU85" s="549"/>
      <c r="BV85" s="549"/>
      <c r="BW85" s="549"/>
      <c r="BX85" s="549"/>
      <c r="BY85" s="549"/>
      <c r="BZ85" s="549"/>
      <c r="CA85" s="549"/>
    </row>
    <row r="86" spans="1:79" ht="15.75" customHeight="1">
      <c r="A86" s="614"/>
      <c r="B86" s="549"/>
      <c r="C86" s="549"/>
      <c r="D86" s="549"/>
      <c r="E86" s="549"/>
      <c r="F86" s="549"/>
      <c r="G86" s="549"/>
      <c r="H86" s="549"/>
      <c r="I86" s="549"/>
      <c r="J86" s="549"/>
      <c r="K86" s="549"/>
      <c r="L86" s="549"/>
      <c r="M86" s="549"/>
      <c r="N86" s="549"/>
      <c r="O86" s="549"/>
      <c r="P86" s="549"/>
      <c r="Q86" s="549"/>
      <c r="R86" s="549"/>
      <c r="S86" s="549"/>
      <c r="T86" s="549"/>
      <c r="U86" s="549"/>
      <c r="V86" s="549"/>
      <c r="W86" s="549"/>
      <c r="X86" s="549"/>
      <c r="Y86" s="549"/>
      <c r="Z86" s="549"/>
      <c r="AA86" s="549"/>
      <c r="AB86" s="549"/>
      <c r="AC86" s="549"/>
      <c r="AD86" s="549"/>
      <c r="AE86" s="549"/>
      <c r="AF86" s="549"/>
      <c r="AG86" s="549"/>
      <c r="AH86" s="549"/>
      <c r="AI86" s="549"/>
      <c r="AJ86" s="549"/>
      <c r="AK86" s="549"/>
      <c r="AL86" s="549"/>
      <c r="AM86" s="549"/>
      <c r="AN86" s="549"/>
      <c r="AO86" s="549"/>
      <c r="AP86" s="549"/>
      <c r="AQ86" s="549"/>
      <c r="AR86" s="549"/>
      <c r="AS86" s="549"/>
      <c r="AT86" s="549"/>
      <c r="AU86" s="549"/>
      <c r="AV86" s="549"/>
      <c r="AW86" s="549"/>
      <c r="AX86" s="549"/>
      <c r="AY86" s="549"/>
      <c r="AZ86" s="549"/>
      <c r="BA86" s="549"/>
      <c r="BB86" s="549"/>
      <c r="BC86" s="549"/>
      <c r="BD86" s="549"/>
      <c r="BE86" s="549"/>
      <c r="BF86" s="549"/>
      <c r="BG86" s="549"/>
      <c r="BH86" s="549"/>
      <c r="BI86" s="549"/>
      <c r="BJ86" s="549"/>
      <c r="BK86" s="549"/>
      <c r="BL86" s="549"/>
      <c r="BM86" s="549"/>
      <c r="BN86" s="549"/>
      <c r="BO86" s="549"/>
      <c r="BP86" s="549"/>
      <c r="BQ86" s="549"/>
      <c r="BR86" s="549"/>
      <c r="BS86" s="549"/>
      <c r="BT86" s="549"/>
      <c r="BU86" s="549"/>
      <c r="BV86" s="549"/>
      <c r="BW86" s="549"/>
      <c r="BX86" s="549"/>
      <c r="BY86" s="549"/>
      <c r="BZ86" s="549"/>
      <c r="CA86" s="549"/>
    </row>
    <row r="87" spans="1:79" ht="15.75" customHeight="1">
      <c r="A87" s="614"/>
      <c r="B87" s="549"/>
      <c r="C87" s="549"/>
      <c r="D87" s="549"/>
      <c r="E87" s="549"/>
      <c r="F87" s="549"/>
      <c r="G87" s="549"/>
      <c r="H87" s="549"/>
      <c r="I87" s="549"/>
      <c r="J87" s="549"/>
      <c r="K87" s="549"/>
      <c r="L87" s="549"/>
      <c r="M87" s="549"/>
      <c r="N87" s="549"/>
      <c r="O87" s="549"/>
      <c r="P87" s="549"/>
      <c r="Q87" s="549"/>
      <c r="R87" s="549"/>
      <c r="S87" s="549"/>
      <c r="T87" s="549"/>
      <c r="U87" s="549"/>
      <c r="V87" s="549"/>
      <c r="W87" s="549"/>
      <c r="X87" s="549"/>
      <c r="Y87" s="549"/>
      <c r="Z87" s="549"/>
      <c r="AA87" s="549"/>
      <c r="AB87" s="549"/>
      <c r="AC87" s="549"/>
      <c r="AD87" s="549"/>
      <c r="AE87" s="549"/>
      <c r="AF87" s="549"/>
      <c r="AG87" s="549"/>
      <c r="AH87" s="549"/>
      <c r="AI87" s="549"/>
      <c r="AJ87" s="549"/>
      <c r="AK87" s="549"/>
      <c r="AL87" s="549"/>
      <c r="AM87" s="549"/>
      <c r="AN87" s="549"/>
      <c r="AO87" s="549"/>
      <c r="AP87" s="549"/>
      <c r="AQ87" s="549"/>
      <c r="AR87" s="549"/>
      <c r="AS87" s="549"/>
      <c r="AT87" s="549"/>
      <c r="AU87" s="549"/>
      <c r="AV87" s="549"/>
      <c r="AW87" s="549"/>
      <c r="AX87" s="549"/>
      <c r="AY87" s="549"/>
      <c r="AZ87" s="549"/>
      <c r="BA87" s="549"/>
      <c r="BB87" s="549"/>
      <c r="BC87" s="549"/>
      <c r="BD87" s="549"/>
      <c r="BE87" s="549"/>
      <c r="BF87" s="549"/>
      <c r="BG87" s="549"/>
      <c r="BH87" s="549"/>
      <c r="BI87" s="549"/>
      <c r="BJ87" s="549"/>
      <c r="BK87" s="549"/>
      <c r="BL87" s="549"/>
      <c r="BM87" s="549"/>
      <c r="BN87" s="549"/>
      <c r="BO87" s="549"/>
      <c r="BP87" s="549"/>
      <c r="BQ87" s="549"/>
      <c r="BR87" s="549"/>
      <c r="BS87" s="549"/>
      <c r="BT87" s="549"/>
      <c r="BU87" s="549"/>
      <c r="BV87" s="549"/>
      <c r="BW87" s="549"/>
      <c r="BX87" s="549"/>
      <c r="BY87" s="549"/>
      <c r="BZ87" s="549"/>
      <c r="CA87" s="549"/>
    </row>
    <row r="88" spans="1:79" ht="15.75" customHeight="1">
      <c r="A88" s="614"/>
      <c r="B88" s="549"/>
      <c r="C88" s="549"/>
      <c r="D88" s="549"/>
      <c r="E88" s="549"/>
      <c r="F88" s="549"/>
      <c r="G88" s="549"/>
      <c r="H88" s="549"/>
      <c r="I88" s="549"/>
      <c r="J88" s="549"/>
      <c r="K88" s="549"/>
      <c r="L88" s="549"/>
      <c r="M88" s="549"/>
      <c r="N88" s="549"/>
      <c r="O88" s="549"/>
      <c r="P88" s="549"/>
      <c r="Q88" s="549"/>
      <c r="R88" s="549"/>
      <c r="S88" s="549"/>
      <c r="T88" s="549"/>
      <c r="U88" s="549"/>
      <c r="V88" s="549"/>
      <c r="W88" s="549"/>
      <c r="X88" s="549"/>
      <c r="Y88" s="549"/>
      <c r="Z88" s="549"/>
      <c r="AA88" s="549"/>
      <c r="AB88" s="549"/>
      <c r="AC88" s="549"/>
      <c r="AD88" s="549"/>
      <c r="AE88" s="549"/>
      <c r="AF88" s="549"/>
      <c r="AG88" s="549"/>
      <c r="AH88" s="549"/>
      <c r="AI88" s="549"/>
      <c r="AJ88" s="549"/>
      <c r="AK88" s="549"/>
      <c r="AL88" s="549"/>
      <c r="AM88" s="549"/>
      <c r="AN88" s="549"/>
      <c r="AO88" s="549"/>
      <c r="AP88" s="549"/>
      <c r="AQ88" s="549"/>
      <c r="AR88" s="549"/>
      <c r="AS88" s="549"/>
      <c r="AT88" s="549"/>
      <c r="AU88" s="549"/>
      <c r="AV88" s="549"/>
      <c r="AW88" s="549"/>
      <c r="AX88" s="549"/>
      <c r="AY88" s="549"/>
      <c r="AZ88" s="549"/>
      <c r="BA88" s="549"/>
      <c r="BB88" s="549"/>
      <c r="BC88" s="549"/>
      <c r="BD88" s="549"/>
      <c r="BE88" s="549"/>
      <c r="BF88" s="549"/>
      <c r="BG88" s="549"/>
      <c r="BH88" s="549"/>
      <c r="BI88" s="549"/>
      <c r="BJ88" s="549"/>
      <c r="BK88" s="549"/>
      <c r="BL88" s="549"/>
      <c r="BM88" s="549"/>
      <c r="BN88" s="549"/>
      <c r="BO88" s="549"/>
      <c r="BP88" s="549"/>
      <c r="BQ88" s="549"/>
      <c r="BR88" s="549"/>
      <c r="BS88" s="549"/>
      <c r="BT88" s="549"/>
      <c r="BU88" s="549"/>
      <c r="BV88" s="549"/>
      <c r="BW88" s="549"/>
      <c r="BX88" s="549"/>
      <c r="BY88" s="549"/>
      <c r="BZ88" s="549"/>
      <c r="CA88" s="549"/>
    </row>
    <row r="89" spans="1:79" ht="15.75" customHeight="1">
      <c r="A89" s="614"/>
      <c r="B89" s="549"/>
      <c r="C89" s="549"/>
      <c r="D89" s="549"/>
      <c r="E89" s="549"/>
      <c r="F89" s="549"/>
      <c r="G89" s="549"/>
      <c r="H89" s="549"/>
      <c r="I89" s="549"/>
      <c r="J89" s="549"/>
      <c r="K89" s="549"/>
      <c r="L89" s="549"/>
      <c r="M89" s="549"/>
      <c r="N89" s="549"/>
      <c r="O89" s="549"/>
      <c r="P89" s="549"/>
      <c r="Q89" s="549"/>
      <c r="R89" s="549"/>
      <c r="S89" s="549"/>
      <c r="T89" s="549"/>
      <c r="U89" s="549"/>
      <c r="V89" s="549"/>
      <c r="W89" s="549"/>
      <c r="X89" s="549"/>
      <c r="Y89" s="549"/>
      <c r="Z89" s="549"/>
      <c r="AA89" s="549"/>
      <c r="AB89" s="549"/>
      <c r="AC89" s="549"/>
      <c r="AD89" s="549"/>
      <c r="AE89" s="549"/>
      <c r="AF89" s="549"/>
      <c r="AG89" s="549"/>
      <c r="AH89" s="549"/>
      <c r="AI89" s="549"/>
      <c r="AJ89" s="549"/>
      <c r="AK89" s="549"/>
      <c r="AL89" s="549"/>
      <c r="AM89" s="549"/>
      <c r="AN89" s="549"/>
      <c r="AO89" s="549"/>
      <c r="AP89" s="549"/>
      <c r="AQ89" s="549"/>
      <c r="AR89" s="549"/>
      <c r="AS89" s="549"/>
      <c r="AT89" s="549"/>
      <c r="AU89" s="549"/>
      <c r="AV89" s="549"/>
      <c r="AW89" s="549"/>
      <c r="AX89" s="549"/>
      <c r="AY89" s="549"/>
      <c r="AZ89" s="549"/>
      <c r="BA89" s="549"/>
      <c r="BB89" s="549"/>
      <c r="BC89" s="549"/>
      <c r="BD89" s="549"/>
      <c r="BE89" s="549"/>
      <c r="BF89" s="549"/>
      <c r="BG89" s="549"/>
      <c r="BH89" s="549"/>
      <c r="BI89" s="549"/>
      <c r="BJ89" s="549"/>
      <c r="BK89" s="549"/>
      <c r="BL89" s="549"/>
      <c r="BM89" s="549"/>
      <c r="BN89" s="549"/>
      <c r="BO89" s="549"/>
      <c r="BP89" s="549"/>
      <c r="BQ89" s="549"/>
      <c r="BR89" s="549"/>
      <c r="BS89" s="549"/>
      <c r="BT89" s="549"/>
      <c r="BU89" s="549"/>
      <c r="BV89" s="549"/>
      <c r="BW89" s="549"/>
      <c r="BX89" s="549"/>
      <c r="BY89" s="549"/>
      <c r="BZ89" s="549"/>
      <c r="CA89" s="549"/>
    </row>
    <row r="90" spans="1:79" ht="15.75" customHeight="1">
      <c r="A90" s="614"/>
      <c r="B90" s="549"/>
      <c r="C90" s="549"/>
      <c r="D90" s="549"/>
      <c r="E90" s="549"/>
      <c r="F90" s="549"/>
      <c r="G90" s="549"/>
      <c r="H90" s="549"/>
      <c r="I90" s="549"/>
      <c r="J90" s="549"/>
      <c r="K90" s="549"/>
      <c r="L90" s="549"/>
      <c r="M90" s="549"/>
      <c r="N90" s="549"/>
      <c r="O90" s="549"/>
      <c r="P90" s="549"/>
      <c r="Q90" s="549"/>
      <c r="R90" s="549"/>
      <c r="S90" s="549"/>
      <c r="T90" s="549"/>
      <c r="U90" s="549"/>
      <c r="V90" s="549"/>
      <c r="W90" s="549"/>
      <c r="X90" s="549"/>
      <c r="Y90" s="549"/>
      <c r="Z90" s="549"/>
      <c r="AA90" s="549"/>
      <c r="AB90" s="549"/>
      <c r="AC90" s="549"/>
      <c r="AD90" s="549"/>
      <c r="AE90" s="549"/>
      <c r="AF90" s="549"/>
      <c r="AG90" s="549"/>
      <c r="AH90" s="549"/>
      <c r="AI90" s="549"/>
      <c r="AJ90" s="549"/>
      <c r="AK90" s="549"/>
      <c r="AL90" s="549"/>
      <c r="AM90" s="549"/>
      <c r="AN90" s="549"/>
      <c r="AO90" s="549"/>
      <c r="AP90" s="549"/>
      <c r="AQ90" s="549"/>
      <c r="AR90" s="549"/>
      <c r="AS90" s="549"/>
      <c r="AT90" s="549"/>
      <c r="AU90" s="549"/>
      <c r="AV90" s="549"/>
      <c r="AW90" s="549"/>
      <c r="AX90" s="549"/>
      <c r="AY90" s="549"/>
      <c r="AZ90" s="549"/>
      <c r="BA90" s="549"/>
      <c r="BB90" s="549"/>
      <c r="BC90" s="549"/>
      <c r="BD90" s="549"/>
      <c r="BE90" s="549"/>
      <c r="BF90" s="549"/>
      <c r="BG90" s="549"/>
      <c r="BH90" s="549"/>
      <c r="BI90" s="549"/>
      <c r="BJ90" s="549"/>
      <c r="BK90" s="549"/>
      <c r="BL90" s="549"/>
      <c r="BM90" s="549"/>
      <c r="BN90" s="549"/>
      <c r="BO90" s="549"/>
      <c r="BP90" s="549"/>
      <c r="BQ90" s="549"/>
      <c r="BR90" s="549"/>
      <c r="BS90" s="549"/>
      <c r="BT90" s="549"/>
      <c r="BU90" s="549"/>
      <c r="BV90" s="549"/>
      <c r="BW90" s="549"/>
      <c r="BX90" s="549"/>
      <c r="BY90" s="549"/>
      <c r="BZ90" s="549"/>
      <c r="CA90" s="549"/>
    </row>
    <row r="91" spans="1:79" ht="15.75" customHeight="1">
      <c r="A91" s="614"/>
      <c r="B91" s="549"/>
      <c r="C91" s="549"/>
      <c r="D91" s="549"/>
      <c r="E91" s="549"/>
      <c r="F91" s="549"/>
      <c r="G91" s="549"/>
      <c r="H91" s="549"/>
      <c r="I91" s="549"/>
      <c r="J91" s="549"/>
      <c r="K91" s="549"/>
      <c r="L91" s="549"/>
      <c r="M91" s="549"/>
      <c r="N91" s="549"/>
      <c r="O91" s="549"/>
      <c r="P91" s="549"/>
      <c r="Q91" s="549"/>
      <c r="R91" s="549"/>
      <c r="S91" s="549"/>
      <c r="T91" s="549"/>
      <c r="U91" s="549"/>
      <c r="V91" s="549"/>
      <c r="W91" s="549"/>
      <c r="X91" s="549"/>
      <c r="Y91" s="549"/>
      <c r="Z91" s="549"/>
      <c r="AA91" s="549"/>
      <c r="AB91" s="549"/>
      <c r="AC91" s="549"/>
      <c r="AD91" s="549"/>
      <c r="AE91" s="549"/>
      <c r="AF91" s="549"/>
      <c r="AG91" s="549"/>
      <c r="AH91" s="549"/>
      <c r="AI91" s="549"/>
      <c r="AJ91" s="549"/>
      <c r="AK91" s="549"/>
      <c r="AL91" s="549"/>
      <c r="AM91" s="549"/>
      <c r="AN91" s="549"/>
      <c r="AO91" s="549"/>
      <c r="AP91" s="549"/>
      <c r="AQ91" s="549"/>
      <c r="AR91" s="549"/>
      <c r="AS91" s="549"/>
      <c r="AT91" s="549"/>
      <c r="AU91" s="549"/>
      <c r="AV91" s="549"/>
      <c r="AW91" s="549"/>
      <c r="AX91" s="549"/>
      <c r="AY91" s="549"/>
      <c r="AZ91" s="549"/>
      <c r="BA91" s="549"/>
      <c r="BB91" s="549"/>
      <c r="BC91" s="549"/>
      <c r="BD91" s="549"/>
      <c r="BE91" s="549"/>
      <c r="BF91" s="549"/>
      <c r="BG91" s="549"/>
      <c r="BH91" s="549"/>
      <c r="BI91" s="549"/>
      <c r="BJ91" s="549"/>
      <c r="BK91" s="549"/>
      <c r="BL91" s="549"/>
      <c r="BM91" s="549"/>
      <c r="BN91" s="549"/>
      <c r="BO91" s="549"/>
      <c r="BP91" s="549"/>
      <c r="BQ91" s="549"/>
      <c r="BR91" s="549"/>
      <c r="BS91" s="549"/>
      <c r="BT91" s="549"/>
      <c r="BU91" s="549"/>
      <c r="BV91" s="549"/>
      <c r="BW91" s="549"/>
      <c r="BX91" s="549"/>
      <c r="BY91" s="549"/>
      <c r="BZ91" s="549"/>
      <c r="CA91" s="549"/>
    </row>
    <row r="92" spans="1:79" ht="15.75" customHeight="1">
      <c r="A92" s="614"/>
      <c r="B92" s="549"/>
      <c r="C92" s="549"/>
      <c r="D92" s="549"/>
      <c r="E92" s="549"/>
      <c r="F92" s="549"/>
      <c r="G92" s="549"/>
      <c r="H92" s="549"/>
      <c r="I92" s="549"/>
      <c r="J92" s="549"/>
      <c r="K92" s="549"/>
      <c r="L92" s="549"/>
      <c r="M92" s="549"/>
      <c r="N92" s="549"/>
      <c r="O92" s="549"/>
      <c r="P92" s="549"/>
      <c r="Q92" s="549"/>
      <c r="R92" s="549"/>
      <c r="S92" s="549"/>
      <c r="T92" s="549"/>
      <c r="U92" s="549"/>
      <c r="V92" s="549"/>
      <c r="W92" s="549"/>
      <c r="X92" s="549"/>
      <c r="Y92" s="549"/>
      <c r="Z92" s="549"/>
      <c r="AA92" s="549"/>
      <c r="AB92" s="549"/>
      <c r="AC92" s="549"/>
      <c r="AD92" s="549"/>
      <c r="AE92" s="549"/>
      <c r="AF92" s="549"/>
      <c r="AG92" s="549"/>
      <c r="AH92" s="549"/>
      <c r="AI92" s="549"/>
      <c r="AJ92" s="549"/>
      <c r="AK92" s="549"/>
      <c r="AL92" s="549"/>
      <c r="AM92" s="549"/>
      <c r="AN92" s="549"/>
      <c r="AO92" s="549"/>
      <c r="AP92" s="549"/>
      <c r="AQ92" s="549"/>
      <c r="AR92" s="549"/>
      <c r="AS92" s="549"/>
      <c r="AT92" s="549"/>
      <c r="AU92" s="549"/>
      <c r="AV92" s="549"/>
      <c r="AW92" s="549"/>
      <c r="AX92" s="549"/>
      <c r="AY92" s="549"/>
      <c r="AZ92" s="549"/>
      <c r="BA92" s="549"/>
      <c r="BB92" s="549"/>
      <c r="BC92" s="549"/>
      <c r="BD92" s="549"/>
      <c r="BE92" s="549"/>
      <c r="BF92" s="549"/>
      <c r="BG92" s="549"/>
      <c r="BH92" s="549"/>
      <c r="BI92" s="549"/>
      <c r="BJ92" s="549"/>
      <c r="BK92" s="549"/>
      <c r="BL92" s="549"/>
      <c r="BM92" s="549"/>
      <c r="BN92" s="549"/>
      <c r="BO92" s="549"/>
      <c r="BP92" s="549"/>
      <c r="BQ92" s="549"/>
      <c r="BR92" s="549"/>
      <c r="BS92" s="549"/>
      <c r="BT92" s="549"/>
      <c r="BU92" s="549"/>
      <c r="BV92" s="549"/>
      <c r="BW92" s="549"/>
      <c r="BX92" s="549"/>
      <c r="BY92" s="549"/>
      <c r="BZ92" s="549"/>
      <c r="CA92" s="549"/>
    </row>
    <row r="93" spans="1:79" ht="15.75" customHeight="1">
      <c r="A93" s="614"/>
      <c r="B93" s="549"/>
      <c r="C93" s="549"/>
      <c r="D93" s="549"/>
      <c r="E93" s="549"/>
      <c r="F93" s="549"/>
      <c r="G93" s="549"/>
      <c r="H93" s="549"/>
      <c r="I93" s="549"/>
      <c r="J93" s="549"/>
      <c r="K93" s="549"/>
      <c r="L93" s="549"/>
      <c r="M93" s="549"/>
      <c r="N93" s="549"/>
      <c r="O93" s="549"/>
      <c r="P93" s="549"/>
      <c r="Q93" s="549"/>
      <c r="R93" s="549"/>
      <c r="S93" s="549"/>
      <c r="T93" s="549"/>
      <c r="U93" s="549"/>
      <c r="V93" s="549"/>
      <c r="W93" s="549"/>
      <c r="X93" s="549"/>
      <c r="Y93" s="549"/>
      <c r="Z93" s="549"/>
      <c r="AA93" s="549"/>
      <c r="AB93" s="549"/>
      <c r="AC93" s="549"/>
      <c r="AD93" s="549"/>
      <c r="AE93" s="549"/>
      <c r="AF93" s="549"/>
      <c r="AG93" s="549"/>
      <c r="AH93" s="549"/>
      <c r="AI93" s="549"/>
      <c r="AJ93" s="549"/>
      <c r="AK93" s="549"/>
      <c r="AL93" s="549"/>
      <c r="AM93" s="549"/>
      <c r="AN93" s="549"/>
      <c r="AO93" s="549"/>
      <c r="AP93" s="549"/>
      <c r="AQ93" s="549"/>
      <c r="AR93" s="549"/>
      <c r="AS93" s="549"/>
      <c r="AT93" s="549"/>
      <c r="AU93" s="549"/>
      <c r="AV93" s="549"/>
      <c r="AW93" s="549"/>
      <c r="AX93" s="549"/>
      <c r="AY93" s="549"/>
      <c r="AZ93" s="549"/>
      <c r="BA93" s="549"/>
      <c r="BB93" s="549"/>
      <c r="BC93" s="549"/>
      <c r="BD93" s="549"/>
      <c r="BE93" s="549"/>
      <c r="BF93" s="549"/>
      <c r="BG93" s="549"/>
      <c r="BH93" s="549"/>
      <c r="BI93" s="549"/>
      <c r="BJ93" s="549"/>
      <c r="BK93" s="549"/>
      <c r="BL93" s="549"/>
      <c r="BM93" s="549"/>
      <c r="BN93" s="549"/>
      <c r="BO93" s="549"/>
      <c r="BP93" s="549"/>
      <c r="BQ93" s="549"/>
      <c r="BR93" s="549"/>
      <c r="BS93" s="549"/>
      <c r="BT93" s="549"/>
      <c r="BU93" s="549"/>
      <c r="BV93" s="549"/>
      <c r="BW93" s="549"/>
      <c r="BX93" s="549"/>
      <c r="BY93" s="549"/>
      <c r="BZ93" s="549"/>
      <c r="CA93" s="549"/>
    </row>
    <row r="94" spans="1:79" ht="15.75" customHeight="1">
      <c r="A94" s="614"/>
      <c r="B94" s="549"/>
      <c r="C94" s="549"/>
      <c r="D94" s="549"/>
      <c r="E94" s="549"/>
      <c r="F94" s="549"/>
      <c r="G94" s="549"/>
      <c r="H94" s="549"/>
      <c r="I94" s="549"/>
      <c r="J94" s="549"/>
      <c r="K94" s="549"/>
      <c r="L94" s="549"/>
      <c r="M94" s="549"/>
      <c r="N94" s="549"/>
      <c r="O94" s="549"/>
      <c r="P94" s="549"/>
      <c r="Q94" s="549"/>
      <c r="R94" s="549"/>
      <c r="S94" s="549"/>
      <c r="T94" s="549"/>
      <c r="U94" s="549"/>
      <c r="V94" s="549"/>
      <c r="W94" s="549"/>
      <c r="X94" s="549"/>
      <c r="Y94" s="549"/>
      <c r="Z94" s="549"/>
      <c r="AA94" s="549"/>
      <c r="AB94" s="549"/>
      <c r="AC94" s="549"/>
      <c r="AD94" s="549"/>
      <c r="AE94" s="549"/>
      <c r="AF94" s="549"/>
      <c r="AG94" s="549"/>
      <c r="AH94" s="549"/>
      <c r="AI94" s="549"/>
      <c r="AJ94" s="549"/>
      <c r="AK94" s="549"/>
      <c r="AL94" s="549"/>
      <c r="AM94" s="549"/>
      <c r="AN94" s="549"/>
      <c r="AO94" s="549"/>
      <c r="AP94" s="549"/>
      <c r="AQ94" s="549"/>
      <c r="AR94" s="549"/>
      <c r="AS94" s="549"/>
      <c r="AT94" s="549"/>
      <c r="AU94" s="549"/>
      <c r="AV94" s="549"/>
      <c r="AW94" s="549"/>
      <c r="AX94" s="549"/>
      <c r="AY94" s="549"/>
      <c r="AZ94" s="549"/>
      <c r="BA94" s="549"/>
      <c r="BB94" s="549"/>
      <c r="BC94" s="549"/>
      <c r="BD94" s="549"/>
      <c r="BE94" s="549"/>
      <c r="BF94" s="549"/>
      <c r="BG94" s="549"/>
      <c r="BH94" s="549"/>
      <c r="BI94" s="549"/>
      <c r="BJ94" s="549"/>
      <c r="BK94" s="549"/>
      <c r="BL94" s="549"/>
      <c r="BM94" s="549"/>
      <c r="BN94" s="549"/>
      <c r="BO94" s="549"/>
      <c r="BP94" s="549"/>
      <c r="BQ94" s="549"/>
      <c r="BR94" s="549"/>
      <c r="BS94" s="549"/>
      <c r="BT94" s="549"/>
      <c r="BU94" s="549"/>
      <c r="BV94" s="549"/>
      <c r="BW94" s="549"/>
      <c r="BX94" s="549"/>
      <c r="BY94" s="549"/>
      <c r="BZ94" s="549"/>
      <c r="CA94" s="549"/>
    </row>
    <row r="95" spans="1:79" ht="15.75" customHeight="1">
      <c r="A95" s="614"/>
      <c r="B95" s="549"/>
      <c r="C95" s="549"/>
      <c r="D95" s="549"/>
      <c r="E95" s="549"/>
      <c r="F95" s="549"/>
      <c r="G95" s="549"/>
      <c r="H95" s="549"/>
      <c r="I95" s="549"/>
      <c r="J95" s="549"/>
      <c r="K95" s="549"/>
      <c r="L95" s="549"/>
      <c r="M95" s="549"/>
      <c r="N95" s="549"/>
      <c r="O95" s="549"/>
      <c r="P95" s="549"/>
      <c r="Q95" s="549"/>
      <c r="R95" s="549"/>
      <c r="S95" s="549"/>
      <c r="T95" s="549"/>
      <c r="U95" s="549"/>
      <c r="V95" s="549"/>
      <c r="W95" s="549"/>
      <c r="X95" s="549"/>
      <c r="Y95" s="549"/>
      <c r="Z95" s="549"/>
      <c r="AA95" s="549"/>
      <c r="AB95" s="549"/>
      <c r="AC95" s="549"/>
      <c r="AD95" s="549"/>
      <c r="AE95" s="549"/>
      <c r="AF95" s="549"/>
      <c r="AG95" s="549"/>
      <c r="AH95" s="549"/>
      <c r="AI95" s="549"/>
      <c r="AJ95" s="549"/>
      <c r="AK95" s="549"/>
      <c r="AL95" s="549"/>
      <c r="AM95" s="549"/>
      <c r="AN95" s="549"/>
      <c r="AO95" s="549"/>
      <c r="AP95" s="549"/>
      <c r="AQ95" s="549"/>
      <c r="AR95" s="549"/>
      <c r="AS95" s="549"/>
      <c r="AT95" s="549"/>
      <c r="AU95" s="549"/>
      <c r="AV95" s="549"/>
      <c r="AW95" s="549"/>
      <c r="AX95" s="549"/>
      <c r="AY95" s="549"/>
      <c r="AZ95" s="549"/>
      <c r="BA95" s="549"/>
      <c r="BB95" s="549"/>
      <c r="BC95" s="549"/>
      <c r="BD95" s="549"/>
      <c r="BE95" s="549"/>
      <c r="BF95" s="549"/>
      <c r="BG95" s="549"/>
      <c r="BH95" s="549"/>
      <c r="BI95" s="549"/>
      <c r="BJ95" s="549"/>
      <c r="BK95" s="549"/>
      <c r="BL95" s="549"/>
      <c r="BM95" s="549"/>
      <c r="BN95" s="549"/>
      <c r="BO95" s="549"/>
      <c r="BP95" s="549"/>
      <c r="BQ95" s="549"/>
      <c r="BR95" s="549"/>
      <c r="BS95" s="549"/>
      <c r="BT95" s="549"/>
      <c r="BU95" s="549"/>
      <c r="BV95" s="549"/>
      <c r="BW95" s="549"/>
      <c r="BX95" s="549"/>
      <c r="BY95" s="549"/>
      <c r="BZ95" s="549"/>
      <c r="CA95" s="549"/>
    </row>
    <row r="96" spans="1:79" ht="15.75" customHeight="1">
      <c r="A96" s="614"/>
      <c r="B96" s="549"/>
      <c r="C96" s="549"/>
      <c r="D96" s="549"/>
      <c r="E96" s="549"/>
      <c r="F96" s="549"/>
      <c r="G96" s="549"/>
      <c r="H96" s="549"/>
      <c r="I96" s="549"/>
      <c r="J96" s="549"/>
      <c r="K96" s="549"/>
      <c r="L96" s="549"/>
      <c r="M96" s="549"/>
      <c r="N96" s="549"/>
      <c r="O96" s="549"/>
      <c r="P96" s="549"/>
      <c r="Q96" s="549"/>
      <c r="R96" s="549"/>
      <c r="S96" s="549"/>
      <c r="T96" s="549"/>
      <c r="U96" s="549"/>
      <c r="V96" s="549"/>
      <c r="W96" s="549"/>
      <c r="X96" s="549"/>
      <c r="Y96" s="549"/>
      <c r="Z96" s="549"/>
      <c r="AA96" s="549"/>
      <c r="AB96" s="549"/>
      <c r="AC96" s="549"/>
      <c r="AD96" s="549"/>
      <c r="AE96" s="549"/>
      <c r="AF96" s="549"/>
      <c r="AG96" s="549"/>
      <c r="AH96" s="549"/>
      <c r="AI96" s="549"/>
      <c r="AJ96" s="549"/>
      <c r="AK96" s="549"/>
      <c r="AL96" s="549"/>
      <c r="AM96" s="549"/>
      <c r="AN96" s="549"/>
      <c r="AO96" s="549"/>
      <c r="AP96" s="549"/>
      <c r="AQ96" s="549"/>
      <c r="AR96" s="549"/>
      <c r="AS96" s="549"/>
      <c r="AT96" s="549"/>
      <c r="AU96" s="549"/>
      <c r="AV96" s="549"/>
      <c r="AW96" s="549"/>
      <c r="AX96" s="549"/>
      <c r="AY96" s="549"/>
      <c r="AZ96" s="549"/>
      <c r="BA96" s="549"/>
      <c r="BB96" s="549"/>
      <c r="BC96" s="549"/>
      <c r="BD96" s="549"/>
      <c r="BE96" s="549"/>
      <c r="BF96" s="549"/>
      <c r="BG96" s="549"/>
      <c r="BH96" s="549"/>
      <c r="BI96" s="549"/>
      <c r="BJ96" s="549"/>
      <c r="BK96" s="549"/>
      <c r="BL96" s="549"/>
      <c r="BM96" s="549"/>
      <c r="BN96" s="549"/>
      <c r="BO96" s="549"/>
      <c r="BP96" s="549"/>
      <c r="BQ96" s="549"/>
      <c r="BR96" s="549"/>
      <c r="BS96" s="549"/>
      <c r="BT96" s="549"/>
      <c r="BU96" s="549"/>
      <c r="BV96" s="549"/>
      <c r="BW96" s="549"/>
      <c r="BX96" s="549"/>
      <c r="BY96" s="549"/>
      <c r="BZ96" s="549"/>
      <c r="CA96" s="549"/>
    </row>
    <row r="97" spans="1:79" ht="15.75" customHeight="1">
      <c r="A97" s="614"/>
      <c r="B97" s="549"/>
      <c r="C97" s="549"/>
      <c r="D97" s="549"/>
      <c r="E97" s="549"/>
      <c r="F97" s="549"/>
      <c r="G97" s="549"/>
      <c r="H97" s="549"/>
      <c r="I97" s="549"/>
      <c r="J97" s="549"/>
      <c r="K97" s="549"/>
      <c r="L97" s="549"/>
      <c r="M97" s="549"/>
      <c r="N97" s="549"/>
      <c r="O97" s="549"/>
      <c r="P97" s="549"/>
      <c r="Q97" s="549"/>
      <c r="R97" s="549"/>
      <c r="S97" s="549"/>
      <c r="T97" s="549"/>
      <c r="U97" s="549"/>
      <c r="V97" s="549"/>
      <c r="W97" s="549"/>
      <c r="X97" s="549"/>
      <c r="Y97" s="549"/>
      <c r="Z97" s="549"/>
      <c r="AA97" s="549"/>
      <c r="AB97" s="549"/>
      <c r="AC97" s="549"/>
      <c r="AD97" s="549"/>
      <c r="AE97" s="549"/>
      <c r="AF97" s="549"/>
      <c r="AG97" s="549"/>
      <c r="AH97" s="549"/>
      <c r="AI97" s="549"/>
      <c r="AJ97" s="549"/>
      <c r="AK97" s="549"/>
      <c r="AL97" s="549"/>
      <c r="AM97" s="549"/>
      <c r="AN97" s="549"/>
      <c r="AO97" s="549"/>
      <c r="AP97" s="549"/>
      <c r="AQ97" s="549"/>
      <c r="AR97" s="549"/>
      <c r="AS97" s="549"/>
      <c r="AT97" s="549"/>
      <c r="AU97" s="549"/>
      <c r="AV97" s="549"/>
      <c r="AW97" s="549"/>
      <c r="AX97" s="549"/>
      <c r="AY97" s="549"/>
      <c r="AZ97" s="549"/>
      <c r="BA97" s="549"/>
      <c r="BB97" s="549"/>
      <c r="BC97" s="549"/>
      <c r="BD97" s="549"/>
      <c r="BE97" s="549"/>
      <c r="BF97" s="549"/>
      <c r="BG97" s="549"/>
      <c r="BH97" s="549"/>
      <c r="BI97" s="549"/>
      <c r="BJ97" s="549"/>
      <c r="BK97" s="549"/>
      <c r="BL97" s="549"/>
      <c r="BM97" s="549"/>
      <c r="BN97" s="549"/>
      <c r="BO97" s="549"/>
      <c r="BP97" s="549"/>
      <c r="BQ97" s="549"/>
      <c r="BR97" s="549"/>
      <c r="BS97" s="549"/>
      <c r="BT97" s="549"/>
      <c r="BU97" s="549"/>
      <c r="BV97" s="549"/>
      <c r="BW97" s="549"/>
      <c r="BX97" s="549"/>
      <c r="BY97" s="549"/>
      <c r="BZ97" s="549"/>
      <c r="CA97" s="549"/>
    </row>
    <row r="98" spans="1:79" ht="15.75" customHeight="1">
      <c r="A98" s="614"/>
      <c r="B98" s="549"/>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49"/>
      <c r="AA98" s="549"/>
      <c r="AB98" s="549"/>
      <c r="AC98" s="549"/>
      <c r="AD98" s="549"/>
      <c r="AE98" s="549"/>
      <c r="AF98" s="549"/>
      <c r="AG98" s="549"/>
      <c r="AH98" s="549"/>
      <c r="AI98" s="549"/>
      <c r="AJ98" s="549"/>
      <c r="AK98" s="549"/>
      <c r="AL98" s="549"/>
      <c r="AM98" s="549"/>
      <c r="AN98" s="549"/>
      <c r="AO98" s="549"/>
      <c r="AP98" s="549"/>
      <c r="AQ98" s="549"/>
      <c r="AR98" s="549"/>
      <c r="AS98" s="549"/>
      <c r="AT98" s="549"/>
      <c r="AU98" s="549"/>
      <c r="AV98" s="549"/>
      <c r="AW98" s="549"/>
      <c r="AX98" s="549"/>
      <c r="AY98" s="549"/>
      <c r="AZ98" s="549"/>
      <c r="BA98" s="549"/>
      <c r="BB98" s="549"/>
      <c r="BC98" s="549"/>
      <c r="BD98" s="549"/>
      <c r="BE98" s="549"/>
      <c r="BF98" s="549"/>
      <c r="BG98" s="549"/>
      <c r="BH98" s="549"/>
      <c r="BI98" s="549"/>
      <c r="BJ98" s="549"/>
      <c r="BK98" s="549"/>
      <c r="BL98" s="549"/>
      <c r="BM98" s="549"/>
      <c r="BN98" s="549"/>
      <c r="BO98" s="549"/>
      <c r="BP98" s="549"/>
      <c r="BQ98" s="549"/>
      <c r="BR98" s="549"/>
      <c r="BS98" s="549"/>
      <c r="BT98" s="549"/>
      <c r="BU98" s="549"/>
      <c r="BV98" s="549"/>
      <c r="BW98" s="549"/>
      <c r="BX98" s="549"/>
      <c r="BY98" s="549"/>
      <c r="BZ98" s="549"/>
      <c r="CA98" s="549"/>
    </row>
    <row r="99" spans="1:79" ht="15.75" customHeight="1">
      <c r="A99" s="614"/>
      <c r="B99" s="549"/>
      <c r="C99" s="549"/>
      <c r="D99" s="549"/>
      <c r="E99" s="549"/>
      <c r="F99" s="549"/>
      <c r="G99" s="549"/>
      <c r="H99" s="549"/>
      <c r="I99" s="549"/>
      <c r="J99" s="549"/>
      <c r="K99" s="549"/>
      <c r="L99" s="549"/>
      <c r="M99" s="549"/>
      <c r="N99" s="549"/>
      <c r="O99" s="549"/>
      <c r="P99" s="549"/>
      <c r="Q99" s="549"/>
      <c r="R99" s="549"/>
      <c r="S99" s="549"/>
      <c r="T99" s="549"/>
      <c r="U99" s="549"/>
      <c r="V99" s="549"/>
      <c r="W99" s="549"/>
      <c r="X99" s="549"/>
      <c r="Y99" s="549"/>
      <c r="Z99" s="549"/>
      <c r="AA99" s="549"/>
      <c r="AB99" s="549"/>
      <c r="AC99" s="549"/>
      <c r="AD99" s="549"/>
      <c r="AE99" s="549"/>
      <c r="AF99" s="549"/>
      <c r="AG99" s="549"/>
      <c r="AH99" s="549"/>
      <c r="AI99" s="549"/>
      <c r="AJ99" s="549"/>
      <c r="AK99" s="549"/>
      <c r="AL99" s="549"/>
      <c r="AM99" s="549"/>
      <c r="AN99" s="549"/>
      <c r="AO99" s="549"/>
      <c r="AP99" s="549"/>
      <c r="AQ99" s="549"/>
      <c r="AR99" s="549"/>
      <c r="AS99" s="549"/>
      <c r="AT99" s="549"/>
      <c r="AU99" s="549"/>
      <c r="AV99" s="549"/>
      <c r="AW99" s="549"/>
      <c r="AX99" s="549"/>
      <c r="AY99" s="549"/>
      <c r="AZ99" s="549"/>
      <c r="BA99" s="549"/>
      <c r="BB99" s="549"/>
      <c r="BC99" s="549"/>
      <c r="BD99" s="549"/>
      <c r="BE99" s="549"/>
      <c r="BF99" s="549"/>
      <c r="BG99" s="549"/>
      <c r="BH99" s="549"/>
      <c r="BI99" s="549"/>
      <c r="BJ99" s="549"/>
      <c r="BK99" s="549"/>
      <c r="BL99" s="549"/>
      <c r="BM99" s="549"/>
      <c r="BN99" s="549"/>
      <c r="BO99" s="549"/>
      <c r="BP99" s="549"/>
      <c r="BQ99" s="549"/>
      <c r="BR99" s="549"/>
      <c r="BS99" s="549"/>
      <c r="BT99" s="549"/>
      <c r="BU99" s="549"/>
      <c r="BV99" s="549"/>
      <c r="BW99" s="549"/>
      <c r="BX99" s="549"/>
      <c r="BY99" s="549"/>
      <c r="BZ99" s="549"/>
      <c r="CA99" s="549"/>
    </row>
    <row r="100" spans="1:79" ht="15.75" customHeight="1">
      <c r="A100" s="614"/>
      <c r="B100" s="549"/>
      <c r="C100" s="549"/>
      <c r="D100" s="549"/>
      <c r="E100" s="549"/>
      <c r="F100" s="549"/>
      <c r="G100" s="549"/>
      <c r="H100" s="549"/>
      <c r="I100" s="549"/>
      <c r="J100" s="549"/>
      <c r="K100" s="549"/>
      <c r="L100" s="549"/>
      <c r="M100" s="549"/>
      <c r="N100" s="549"/>
      <c r="O100" s="549"/>
      <c r="P100" s="549"/>
      <c r="Q100" s="549"/>
      <c r="R100" s="549"/>
      <c r="S100" s="549"/>
      <c r="T100" s="549"/>
      <c r="U100" s="549"/>
      <c r="V100" s="549"/>
      <c r="W100" s="549"/>
      <c r="X100" s="549"/>
      <c r="Y100" s="549"/>
      <c r="Z100" s="549"/>
      <c r="AA100" s="549"/>
      <c r="AB100" s="549"/>
      <c r="AC100" s="549"/>
      <c r="AD100" s="549"/>
      <c r="AE100" s="549"/>
      <c r="AF100" s="549"/>
      <c r="AG100" s="549"/>
      <c r="AH100" s="549"/>
      <c r="AI100" s="549"/>
      <c r="AJ100" s="549"/>
      <c r="AK100" s="549"/>
      <c r="AL100" s="549"/>
      <c r="AM100" s="549"/>
      <c r="AN100" s="549"/>
      <c r="AO100" s="549"/>
      <c r="AP100" s="549"/>
      <c r="AQ100" s="549"/>
      <c r="AR100" s="549"/>
      <c r="AS100" s="549"/>
      <c r="AT100" s="549"/>
      <c r="AU100" s="549"/>
      <c r="AV100" s="549"/>
      <c r="AW100" s="549"/>
      <c r="AX100" s="549"/>
      <c r="AY100" s="549"/>
      <c r="AZ100" s="549"/>
      <c r="BA100" s="549"/>
      <c r="BB100" s="549"/>
      <c r="BC100" s="549"/>
      <c r="BD100" s="549"/>
      <c r="BE100" s="549"/>
      <c r="BF100" s="549"/>
      <c r="BG100" s="549"/>
      <c r="BH100" s="549"/>
      <c r="BI100" s="549"/>
      <c r="BJ100" s="549"/>
      <c r="BK100" s="549"/>
      <c r="BL100" s="549"/>
      <c r="BM100" s="549"/>
      <c r="BN100" s="549"/>
      <c r="BO100" s="549"/>
      <c r="BP100" s="549"/>
      <c r="BQ100" s="549"/>
      <c r="BR100" s="549"/>
      <c r="BS100" s="549"/>
      <c r="BT100" s="549"/>
      <c r="BU100" s="549"/>
      <c r="BV100" s="549"/>
      <c r="BW100" s="549"/>
      <c r="BX100" s="549"/>
      <c r="BY100" s="549"/>
      <c r="BZ100" s="549"/>
      <c r="CA100" s="549"/>
    </row>
    <row r="101" spans="1:79" ht="15.75" customHeight="1">
      <c r="A101" s="614"/>
      <c r="B101" s="549"/>
      <c r="C101" s="549"/>
      <c r="D101" s="549"/>
      <c r="E101" s="549"/>
      <c r="F101" s="549"/>
      <c r="G101" s="549"/>
      <c r="H101" s="549"/>
      <c r="I101" s="549"/>
      <c r="J101" s="549"/>
      <c r="K101" s="549"/>
      <c r="L101" s="549"/>
      <c r="M101" s="549"/>
      <c r="N101" s="549"/>
      <c r="O101" s="549"/>
      <c r="P101" s="549"/>
      <c r="Q101" s="549"/>
      <c r="R101" s="549"/>
      <c r="S101" s="549"/>
      <c r="T101" s="549"/>
      <c r="U101" s="549"/>
      <c r="V101" s="549"/>
      <c r="W101" s="549"/>
      <c r="X101" s="549"/>
      <c r="Y101" s="549"/>
      <c r="Z101" s="549"/>
      <c r="AA101" s="549"/>
      <c r="AB101" s="549"/>
      <c r="AC101" s="549"/>
      <c r="AD101" s="549"/>
      <c r="AE101" s="549"/>
      <c r="AF101" s="549"/>
      <c r="AG101" s="549"/>
      <c r="AH101" s="549"/>
      <c r="AI101" s="549"/>
      <c r="AJ101" s="549"/>
      <c r="AK101" s="549"/>
      <c r="AL101" s="549"/>
      <c r="AM101" s="549"/>
      <c r="AN101" s="549"/>
      <c r="AO101" s="549"/>
      <c r="AP101" s="549"/>
      <c r="AQ101" s="549"/>
      <c r="AR101" s="549"/>
      <c r="AS101" s="549"/>
      <c r="AT101" s="549"/>
      <c r="AU101" s="549"/>
      <c r="AV101" s="549"/>
      <c r="AW101" s="549"/>
      <c r="AX101" s="549"/>
      <c r="AY101" s="549"/>
      <c r="AZ101" s="549"/>
      <c r="BA101" s="549"/>
      <c r="BB101" s="549"/>
      <c r="BC101" s="549"/>
      <c r="BD101" s="549"/>
      <c r="BE101" s="549"/>
      <c r="BF101" s="549"/>
      <c r="BG101" s="549"/>
      <c r="BH101" s="549"/>
      <c r="BI101" s="549"/>
      <c r="BJ101" s="549"/>
      <c r="BK101" s="549"/>
      <c r="BL101" s="549"/>
      <c r="BM101" s="549"/>
      <c r="BN101" s="549"/>
      <c r="BO101" s="549"/>
      <c r="BP101" s="549"/>
      <c r="BQ101" s="549"/>
      <c r="BR101" s="549"/>
      <c r="BS101" s="549"/>
      <c r="BT101" s="549"/>
      <c r="BU101" s="549"/>
      <c r="BV101" s="549"/>
      <c r="BW101" s="549"/>
      <c r="BX101" s="549"/>
      <c r="BY101" s="549"/>
      <c r="BZ101" s="549"/>
      <c r="CA101" s="549"/>
    </row>
    <row r="102" spans="1:79" ht="15.75" customHeight="1">
      <c r="A102" s="614"/>
      <c r="B102" s="549"/>
      <c r="C102" s="549"/>
      <c r="D102" s="549"/>
      <c r="E102" s="549"/>
      <c r="F102" s="549"/>
      <c r="G102" s="549"/>
      <c r="H102" s="549"/>
      <c r="I102" s="549"/>
      <c r="J102" s="549"/>
      <c r="K102" s="549"/>
      <c r="L102" s="549"/>
      <c r="M102" s="549"/>
      <c r="N102" s="549"/>
      <c r="O102" s="549"/>
      <c r="P102" s="549"/>
      <c r="Q102" s="549"/>
      <c r="R102" s="549"/>
      <c r="S102" s="549"/>
      <c r="T102" s="549"/>
      <c r="U102" s="549"/>
      <c r="V102" s="549"/>
      <c r="W102" s="549"/>
      <c r="X102" s="549"/>
      <c r="Y102" s="549"/>
      <c r="Z102" s="549"/>
      <c r="AA102" s="549"/>
      <c r="AB102" s="549"/>
      <c r="AC102" s="549"/>
      <c r="AD102" s="549"/>
      <c r="AE102" s="549"/>
      <c r="AF102" s="549"/>
      <c r="AG102" s="549"/>
      <c r="AH102" s="549"/>
      <c r="AI102" s="549"/>
      <c r="AJ102" s="549"/>
      <c r="AK102" s="549"/>
      <c r="AL102" s="549"/>
      <c r="AM102" s="549"/>
      <c r="AN102" s="549"/>
      <c r="AO102" s="549"/>
      <c r="AP102" s="549"/>
      <c r="AQ102" s="549"/>
      <c r="AR102" s="549"/>
      <c r="AS102" s="549"/>
      <c r="AT102" s="549"/>
      <c r="AU102" s="549"/>
      <c r="AV102" s="549"/>
      <c r="AW102" s="549"/>
      <c r="AX102" s="549"/>
      <c r="AY102" s="549"/>
      <c r="AZ102" s="549"/>
      <c r="BA102" s="549"/>
      <c r="BB102" s="549"/>
      <c r="BC102" s="549"/>
      <c r="BD102" s="549"/>
      <c r="BE102" s="549"/>
      <c r="BF102" s="549"/>
      <c r="BG102" s="549"/>
      <c r="BH102" s="549"/>
      <c r="BI102" s="549"/>
      <c r="BJ102" s="549"/>
      <c r="BK102" s="549"/>
      <c r="BL102" s="549"/>
      <c r="BM102" s="549"/>
      <c r="BN102" s="549"/>
      <c r="BO102" s="549"/>
      <c r="BP102" s="549"/>
      <c r="BQ102" s="549"/>
      <c r="BR102" s="549"/>
      <c r="BS102" s="549"/>
      <c r="BT102" s="549"/>
      <c r="BU102" s="549"/>
      <c r="BV102" s="549"/>
      <c r="BW102" s="549"/>
      <c r="BX102" s="549"/>
      <c r="BY102" s="549"/>
      <c r="BZ102" s="549"/>
      <c r="CA102" s="549"/>
    </row>
    <row r="103" spans="1:79" ht="15.75" customHeight="1">
      <c r="A103" s="614"/>
      <c r="B103" s="549"/>
      <c r="C103" s="549"/>
      <c r="D103" s="549"/>
      <c r="E103" s="549"/>
      <c r="F103" s="549"/>
      <c r="G103" s="549"/>
      <c r="H103" s="549"/>
      <c r="I103" s="549"/>
      <c r="J103" s="549"/>
      <c r="K103" s="549"/>
      <c r="L103" s="549"/>
      <c r="M103" s="549"/>
      <c r="N103" s="549"/>
      <c r="O103" s="549"/>
      <c r="P103" s="549"/>
      <c r="Q103" s="549"/>
      <c r="R103" s="549"/>
      <c r="S103" s="549"/>
      <c r="T103" s="549"/>
      <c r="U103" s="549"/>
      <c r="V103" s="549"/>
      <c r="W103" s="549"/>
      <c r="X103" s="549"/>
      <c r="Y103" s="549"/>
      <c r="Z103" s="549"/>
      <c r="AA103" s="549"/>
      <c r="AB103" s="549"/>
      <c r="AC103" s="549"/>
      <c r="AD103" s="549"/>
      <c r="AE103" s="549"/>
      <c r="AF103" s="549"/>
      <c r="AG103" s="549"/>
      <c r="AH103" s="549"/>
      <c r="AI103" s="549"/>
      <c r="AJ103" s="549"/>
      <c r="AK103" s="549"/>
      <c r="AL103" s="549"/>
      <c r="AM103" s="549"/>
      <c r="AN103" s="549"/>
      <c r="AO103" s="549"/>
      <c r="AP103" s="549"/>
      <c r="AQ103" s="549"/>
      <c r="AR103" s="549"/>
      <c r="AS103" s="549"/>
      <c r="AT103" s="549"/>
      <c r="AU103" s="549"/>
      <c r="AV103" s="549"/>
      <c r="AW103" s="549"/>
      <c r="AX103" s="549"/>
      <c r="AY103" s="549"/>
      <c r="AZ103" s="549"/>
      <c r="BA103" s="549"/>
      <c r="BB103" s="549"/>
      <c r="BC103" s="549"/>
      <c r="BD103" s="549"/>
      <c r="BE103" s="549"/>
      <c r="BF103" s="549"/>
      <c r="BG103" s="549"/>
      <c r="BH103" s="549"/>
      <c r="BI103" s="549"/>
      <c r="BJ103" s="549"/>
      <c r="BK103" s="549"/>
      <c r="BL103" s="549"/>
      <c r="BM103" s="549"/>
      <c r="BN103" s="549"/>
      <c r="BO103" s="549"/>
      <c r="BP103" s="549"/>
      <c r="BQ103" s="549"/>
      <c r="BR103" s="549"/>
      <c r="BS103" s="549"/>
      <c r="BT103" s="549"/>
      <c r="BU103" s="549"/>
      <c r="BV103" s="549"/>
      <c r="BW103" s="549"/>
      <c r="BX103" s="549"/>
      <c r="BY103" s="549"/>
      <c r="BZ103" s="549"/>
      <c r="CA103" s="549"/>
    </row>
    <row r="104" spans="1:79" ht="15.75" customHeight="1">
      <c r="A104" s="614"/>
      <c r="B104" s="549"/>
      <c r="C104" s="549"/>
      <c r="D104" s="549"/>
      <c r="E104" s="549"/>
      <c r="F104" s="549"/>
      <c r="G104" s="549"/>
      <c r="H104" s="549"/>
      <c r="I104" s="549"/>
      <c r="J104" s="549"/>
      <c r="K104" s="549"/>
      <c r="L104" s="549"/>
      <c r="M104" s="549"/>
      <c r="N104" s="549"/>
      <c r="O104" s="549"/>
      <c r="P104" s="549"/>
      <c r="Q104" s="549"/>
      <c r="R104" s="549"/>
      <c r="S104" s="549"/>
      <c r="T104" s="549"/>
      <c r="U104" s="549"/>
      <c r="V104" s="549"/>
      <c r="W104" s="549"/>
      <c r="X104" s="549"/>
      <c r="Y104" s="549"/>
      <c r="Z104" s="549"/>
      <c r="AA104" s="549"/>
      <c r="AB104" s="549"/>
      <c r="AC104" s="549"/>
      <c r="AD104" s="549"/>
      <c r="AE104" s="549"/>
      <c r="AF104" s="549"/>
      <c r="AG104" s="549"/>
      <c r="AH104" s="549"/>
      <c r="AI104" s="549"/>
      <c r="AJ104" s="549"/>
      <c r="AK104" s="549"/>
      <c r="AL104" s="549"/>
      <c r="AM104" s="549"/>
      <c r="AN104" s="549"/>
      <c r="AO104" s="549"/>
      <c r="AP104" s="549"/>
      <c r="AQ104" s="549"/>
      <c r="AR104" s="549"/>
      <c r="AS104" s="549"/>
      <c r="AT104" s="549"/>
      <c r="AU104" s="549"/>
      <c r="AV104" s="549"/>
      <c r="AW104" s="549"/>
      <c r="AX104" s="549"/>
      <c r="AY104" s="549"/>
      <c r="AZ104" s="549"/>
      <c r="BA104" s="549"/>
      <c r="BB104" s="549"/>
      <c r="BC104" s="549"/>
      <c r="BD104" s="549"/>
      <c r="BE104" s="549"/>
      <c r="BF104" s="549"/>
      <c r="BG104" s="549"/>
      <c r="BH104" s="549"/>
      <c r="BI104" s="549"/>
      <c r="BJ104" s="549"/>
      <c r="BK104" s="549"/>
      <c r="BL104" s="549"/>
      <c r="BM104" s="549"/>
      <c r="BN104" s="549"/>
      <c r="BO104" s="549"/>
      <c r="BP104" s="549"/>
      <c r="BQ104" s="549"/>
      <c r="BR104" s="549"/>
      <c r="BS104" s="549"/>
      <c r="BT104" s="549"/>
      <c r="BU104" s="549"/>
      <c r="BV104" s="549"/>
      <c r="BW104" s="549"/>
      <c r="BX104" s="549"/>
      <c r="BY104" s="549"/>
      <c r="BZ104" s="549"/>
      <c r="CA104" s="549"/>
    </row>
    <row r="105" spans="1:79" ht="15.75" customHeight="1">
      <c r="A105" s="614"/>
      <c r="B105" s="549"/>
      <c r="C105" s="549"/>
      <c r="D105" s="549"/>
      <c r="E105" s="549"/>
      <c r="F105" s="549"/>
      <c r="G105" s="549"/>
      <c r="H105" s="549"/>
      <c r="I105" s="549"/>
      <c r="J105" s="549"/>
      <c r="K105" s="549"/>
      <c r="L105" s="549"/>
      <c r="M105" s="549"/>
      <c r="N105" s="549"/>
      <c r="O105" s="549"/>
      <c r="P105" s="549"/>
      <c r="Q105" s="549"/>
      <c r="R105" s="549"/>
      <c r="S105" s="549"/>
      <c r="T105" s="549"/>
      <c r="U105" s="549"/>
      <c r="V105" s="549"/>
      <c r="W105" s="549"/>
      <c r="X105" s="549"/>
      <c r="Y105" s="549"/>
      <c r="Z105" s="549"/>
      <c r="AA105" s="549"/>
      <c r="AB105" s="549"/>
      <c r="AC105" s="549"/>
      <c r="AD105" s="549"/>
      <c r="AE105" s="549"/>
      <c r="AF105" s="549"/>
      <c r="AG105" s="549"/>
      <c r="AH105" s="549"/>
      <c r="AI105" s="549"/>
      <c r="AJ105" s="549"/>
      <c r="AK105" s="549"/>
      <c r="AL105" s="549"/>
      <c r="AM105" s="549"/>
      <c r="AN105" s="549"/>
      <c r="AO105" s="549"/>
      <c r="AP105" s="549"/>
      <c r="AQ105" s="549"/>
      <c r="AR105" s="549"/>
      <c r="AS105" s="549"/>
      <c r="AT105" s="549"/>
      <c r="AU105" s="549"/>
      <c r="AV105" s="549"/>
      <c r="AW105" s="549"/>
      <c r="AX105" s="549"/>
      <c r="AY105" s="549"/>
      <c r="AZ105" s="549"/>
      <c r="BA105" s="549"/>
      <c r="BB105" s="549"/>
      <c r="BC105" s="549"/>
      <c r="BD105" s="549"/>
      <c r="BE105" s="549"/>
      <c r="BF105" s="549"/>
      <c r="BG105" s="549"/>
      <c r="BH105" s="549"/>
      <c r="BI105" s="549"/>
      <c r="BJ105" s="549"/>
      <c r="BK105" s="549"/>
      <c r="BL105" s="549"/>
      <c r="BM105" s="549"/>
      <c r="BN105" s="549"/>
      <c r="BO105" s="549"/>
      <c r="BP105" s="549"/>
      <c r="BQ105" s="549"/>
      <c r="BR105" s="549"/>
      <c r="BS105" s="549"/>
      <c r="BT105" s="549"/>
      <c r="BU105" s="549"/>
      <c r="BV105" s="549"/>
      <c r="BW105" s="549"/>
      <c r="BX105" s="549"/>
      <c r="BY105" s="549"/>
      <c r="BZ105" s="549"/>
      <c r="CA105" s="549"/>
    </row>
    <row r="106" spans="1:79" ht="15.75" customHeight="1">
      <c r="A106" s="614"/>
      <c r="B106" s="549"/>
      <c r="C106" s="549"/>
      <c r="D106" s="549"/>
      <c r="E106" s="549"/>
      <c r="F106" s="549"/>
      <c r="G106" s="549"/>
      <c r="H106" s="549"/>
      <c r="I106" s="549"/>
      <c r="J106" s="549"/>
      <c r="K106" s="549"/>
      <c r="L106" s="549"/>
      <c r="M106" s="549"/>
      <c r="N106" s="549"/>
      <c r="O106" s="549"/>
      <c r="P106" s="549"/>
      <c r="Q106" s="549"/>
      <c r="R106" s="549"/>
      <c r="S106" s="549"/>
      <c r="T106" s="549"/>
      <c r="U106" s="549"/>
      <c r="V106" s="549"/>
      <c r="W106" s="549"/>
      <c r="X106" s="549"/>
      <c r="Y106" s="549"/>
      <c r="Z106" s="549"/>
      <c r="AA106" s="549"/>
      <c r="AB106" s="549"/>
      <c r="AC106" s="549"/>
      <c r="AD106" s="549"/>
      <c r="AE106" s="549"/>
      <c r="AF106" s="549"/>
      <c r="AG106" s="549"/>
      <c r="AH106" s="549"/>
      <c r="AI106" s="549"/>
      <c r="AJ106" s="549"/>
      <c r="AK106" s="549"/>
      <c r="AL106" s="549"/>
      <c r="AM106" s="549"/>
      <c r="AN106" s="549"/>
      <c r="AO106" s="549"/>
      <c r="AP106" s="549"/>
      <c r="AQ106" s="549"/>
      <c r="AR106" s="549"/>
      <c r="AS106" s="549"/>
      <c r="AT106" s="549"/>
      <c r="AU106" s="549"/>
      <c r="AV106" s="549"/>
      <c r="AW106" s="549"/>
      <c r="AX106" s="549"/>
      <c r="AY106" s="549"/>
      <c r="AZ106" s="549"/>
      <c r="BA106" s="549"/>
      <c r="BB106" s="549"/>
      <c r="BC106" s="549"/>
      <c r="BD106" s="549"/>
      <c r="BE106" s="549"/>
      <c r="BF106" s="549"/>
      <c r="BG106" s="549"/>
      <c r="BH106" s="549"/>
      <c r="BI106" s="549"/>
      <c r="BJ106" s="549"/>
      <c r="BK106" s="549"/>
      <c r="BL106" s="549"/>
      <c r="BM106" s="549"/>
      <c r="BN106" s="549"/>
      <c r="BO106" s="549"/>
      <c r="BP106" s="549"/>
      <c r="BQ106" s="549"/>
      <c r="BR106" s="549"/>
      <c r="BS106" s="549"/>
      <c r="BT106" s="549"/>
      <c r="BU106" s="549"/>
      <c r="BV106" s="549"/>
      <c r="BW106" s="549"/>
      <c r="BX106" s="549"/>
      <c r="BY106" s="549"/>
      <c r="BZ106" s="549"/>
      <c r="CA106" s="549"/>
    </row>
    <row r="107" spans="1:79" ht="15.75" customHeight="1">
      <c r="A107" s="614"/>
      <c r="B107" s="549"/>
      <c r="C107" s="549"/>
      <c r="D107" s="549"/>
      <c r="E107" s="549"/>
      <c r="F107" s="549"/>
      <c r="G107" s="549"/>
      <c r="H107" s="549"/>
      <c r="I107" s="549"/>
      <c r="J107" s="549"/>
      <c r="K107" s="549"/>
      <c r="L107" s="549"/>
      <c r="M107" s="549"/>
      <c r="N107" s="549"/>
      <c r="O107" s="549"/>
      <c r="P107" s="549"/>
      <c r="Q107" s="549"/>
      <c r="R107" s="549"/>
      <c r="S107" s="549"/>
      <c r="T107" s="549"/>
      <c r="U107" s="549"/>
      <c r="V107" s="549"/>
      <c r="W107" s="549"/>
      <c r="X107" s="549"/>
      <c r="Y107" s="549"/>
      <c r="Z107" s="549"/>
      <c r="AA107" s="549"/>
      <c r="AB107" s="549"/>
      <c r="AC107" s="549"/>
      <c r="AD107" s="549"/>
      <c r="AE107" s="549"/>
      <c r="AF107" s="549"/>
      <c r="AG107" s="549"/>
      <c r="AH107" s="549"/>
      <c r="AI107" s="549"/>
      <c r="AJ107" s="549"/>
      <c r="AK107" s="549"/>
      <c r="AL107" s="549"/>
      <c r="AM107" s="549"/>
      <c r="AN107" s="549"/>
      <c r="AO107" s="549"/>
      <c r="AP107" s="549"/>
      <c r="AQ107" s="549"/>
      <c r="AR107" s="549"/>
      <c r="AS107" s="549"/>
      <c r="AT107" s="549"/>
      <c r="AU107" s="549"/>
      <c r="AV107" s="549"/>
      <c r="AW107" s="549"/>
      <c r="AX107" s="549"/>
      <c r="AY107" s="549"/>
      <c r="AZ107" s="549"/>
      <c r="BA107" s="549"/>
      <c r="BB107" s="549"/>
      <c r="BC107" s="549"/>
      <c r="BD107" s="549"/>
      <c r="BE107" s="549"/>
      <c r="BF107" s="549"/>
      <c r="BG107" s="549"/>
      <c r="BH107" s="549"/>
      <c r="BI107" s="549"/>
      <c r="BJ107" s="549"/>
      <c r="BK107" s="549"/>
      <c r="BL107" s="549"/>
      <c r="BM107" s="549"/>
      <c r="BN107" s="549"/>
      <c r="BO107" s="549"/>
      <c r="BP107" s="549"/>
      <c r="BQ107" s="549"/>
      <c r="BR107" s="549"/>
      <c r="BS107" s="549"/>
      <c r="BT107" s="549"/>
      <c r="BU107" s="549"/>
      <c r="BV107" s="549"/>
      <c r="BW107" s="549"/>
      <c r="BX107" s="549"/>
      <c r="BY107" s="549"/>
      <c r="BZ107" s="549"/>
      <c r="CA107" s="549"/>
    </row>
    <row r="108" spans="1:79" ht="15.75" customHeight="1">
      <c r="A108" s="614"/>
      <c r="B108" s="549"/>
      <c r="C108" s="549"/>
      <c r="D108" s="549"/>
      <c r="E108" s="549"/>
      <c r="F108" s="549"/>
      <c r="G108" s="549"/>
      <c r="H108" s="549"/>
      <c r="I108" s="549"/>
      <c r="J108" s="549"/>
      <c r="K108" s="549"/>
      <c r="L108" s="549"/>
      <c r="M108" s="549"/>
      <c r="N108" s="549"/>
      <c r="O108" s="549"/>
      <c r="P108" s="549"/>
      <c r="Q108" s="549"/>
      <c r="R108" s="549"/>
      <c r="S108" s="549"/>
      <c r="T108" s="549"/>
      <c r="U108" s="549"/>
      <c r="V108" s="549"/>
      <c r="W108" s="549"/>
      <c r="X108" s="549"/>
      <c r="Y108" s="549"/>
      <c r="Z108" s="549"/>
      <c r="AA108" s="549"/>
      <c r="AB108" s="549"/>
      <c r="AC108" s="549"/>
      <c r="AD108" s="549"/>
      <c r="AE108" s="549"/>
      <c r="AF108" s="549"/>
      <c r="AG108" s="549"/>
      <c r="AH108" s="549"/>
      <c r="AI108" s="549"/>
      <c r="AJ108" s="549"/>
      <c r="AK108" s="549"/>
      <c r="AL108" s="549"/>
      <c r="AM108" s="549"/>
      <c r="AN108" s="549"/>
      <c r="AO108" s="549"/>
      <c r="AP108" s="549"/>
      <c r="AQ108" s="549"/>
      <c r="AR108" s="549"/>
      <c r="AS108" s="549"/>
      <c r="AT108" s="549"/>
      <c r="AU108" s="549"/>
      <c r="AV108" s="549"/>
      <c r="AW108" s="549"/>
      <c r="AX108" s="549"/>
      <c r="AY108" s="549"/>
      <c r="AZ108" s="549"/>
      <c r="BA108" s="549"/>
      <c r="BB108" s="549"/>
      <c r="BC108" s="549"/>
      <c r="BD108" s="549"/>
      <c r="BE108" s="549"/>
      <c r="BF108" s="549"/>
      <c r="BG108" s="549"/>
      <c r="BH108" s="549"/>
      <c r="BI108" s="549"/>
      <c r="BJ108" s="549"/>
      <c r="BK108" s="549"/>
      <c r="BL108" s="549"/>
      <c r="BM108" s="549"/>
      <c r="BN108" s="549"/>
      <c r="BO108" s="549"/>
      <c r="BP108" s="549"/>
      <c r="BQ108" s="549"/>
      <c r="BR108" s="549"/>
      <c r="BS108" s="549"/>
      <c r="BT108" s="549"/>
      <c r="BU108" s="549"/>
      <c r="BV108" s="549"/>
      <c r="BW108" s="549"/>
      <c r="BX108" s="549"/>
      <c r="BY108" s="549"/>
      <c r="BZ108" s="549"/>
      <c r="CA108" s="549"/>
    </row>
    <row r="109" spans="1:79" ht="15.75" customHeight="1">
      <c r="A109" s="614"/>
      <c r="B109" s="549"/>
      <c r="C109" s="549"/>
      <c r="D109" s="549"/>
      <c r="E109" s="549"/>
      <c r="F109" s="549"/>
      <c r="G109" s="549"/>
      <c r="H109" s="549"/>
      <c r="I109" s="549"/>
      <c r="J109" s="549"/>
      <c r="K109" s="549"/>
      <c r="L109" s="549"/>
      <c r="M109" s="549"/>
      <c r="N109" s="549"/>
      <c r="O109" s="549"/>
      <c r="P109" s="549"/>
      <c r="Q109" s="549"/>
      <c r="R109" s="549"/>
      <c r="S109" s="549"/>
      <c r="T109" s="549"/>
      <c r="U109" s="549"/>
      <c r="V109" s="549"/>
      <c r="W109" s="549"/>
      <c r="X109" s="549"/>
      <c r="Y109" s="549"/>
      <c r="Z109" s="549"/>
      <c r="AA109" s="549"/>
      <c r="AB109" s="549"/>
      <c r="AC109" s="549"/>
      <c r="AD109" s="549"/>
      <c r="AE109" s="549"/>
      <c r="AF109" s="549"/>
      <c r="AG109" s="549"/>
      <c r="AH109" s="549"/>
      <c r="AI109" s="549"/>
      <c r="AJ109" s="549"/>
      <c r="AK109" s="549"/>
      <c r="AL109" s="549"/>
      <c r="AM109" s="549"/>
      <c r="AN109" s="549"/>
      <c r="AO109" s="549"/>
      <c r="AP109" s="549"/>
      <c r="AQ109" s="549"/>
      <c r="AR109" s="549"/>
      <c r="AS109" s="549"/>
      <c r="AT109" s="549"/>
      <c r="AU109" s="549"/>
      <c r="AV109" s="549"/>
      <c r="AW109" s="549"/>
      <c r="AX109" s="549"/>
      <c r="AY109" s="549"/>
      <c r="AZ109" s="549"/>
      <c r="BA109" s="549"/>
      <c r="BB109" s="549"/>
      <c r="BC109" s="549"/>
      <c r="BD109" s="549"/>
      <c r="BE109" s="549"/>
      <c r="BF109" s="549"/>
      <c r="BG109" s="549"/>
      <c r="BH109" s="549"/>
      <c r="BI109" s="549"/>
      <c r="BJ109" s="549"/>
      <c r="BK109" s="549"/>
      <c r="BL109" s="549"/>
      <c r="BM109" s="549"/>
      <c r="BN109" s="549"/>
      <c r="BO109" s="549"/>
      <c r="BP109" s="549"/>
      <c r="BQ109" s="549"/>
      <c r="BR109" s="549"/>
      <c r="BS109" s="549"/>
      <c r="BT109" s="549"/>
      <c r="BU109" s="549"/>
      <c r="BV109" s="549"/>
      <c r="BW109" s="549"/>
      <c r="BX109" s="549"/>
      <c r="BY109" s="549"/>
      <c r="BZ109" s="549"/>
      <c r="CA109" s="549"/>
    </row>
    <row r="110" spans="1:79" ht="15.75" customHeight="1">
      <c r="A110" s="614"/>
      <c r="B110" s="549"/>
      <c r="C110" s="549"/>
      <c r="D110" s="549"/>
      <c r="E110" s="549"/>
      <c r="F110" s="549"/>
      <c r="G110" s="549"/>
      <c r="H110" s="549"/>
      <c r="I110" s="549"/>
      <c r="J110" s="549"/>
      <c r="K110" s="549"/>
      <c r="L110" s="549"/>
      <c r="M110" s="549"/>
      <c r="N110" s="549"/>
      <c r="O110" s="549"/>
      <c r="P110" s="549"/>
      <c r="Q110" s="549"/>
      <c r="R110" s="549"/>
      <c r="S110" s="549"/>
      <c r="T110" s="549"/>
      <c r="U110" s="549"/>
      <c r="V110" s="549"/>
      <c r="W110" s="549"/>
      <c r="X110" s="549"/>
      <c r="Y110" s="549"/>
      <c r="Z110" s="549"/>
      <c r="AA110" s="549"/>
      <c r="AB110" s="549"/>
      <c r="AC110" s="549"/>
      <c r="AD110" s="549"/>
      <c r="AE110" s="549"/>
      <c r="AF110" s="549"/>
      <c r="AG110" s="549"/>
      <c r="AH110" s="549"/>
      <c r="AI110" s="549"/>
      <c r="AJ110" s="549"/>
      <c r="AK110" s="549"/>
      <c r="AL110" s="549"/>
      <c r="AM110" s="549"/>
      <c r="AN110" s="549"/>
      <c r="AO110" s="549"/>
      <c r="AP110" s="549"/>
      <c r="AQ110" s="549"/>
      <c r="AR110" s="549"/>
      <c r="AS110" s="549"/>
      <c r="AT110" s="549"/>
      <c r="AU110" s="549"/>
      <c r="AV110" s="549"/>
      <c r="AW110" s="549"/>
      <c r="AX110" s="549"/>
      <c r="AY110" s="549"/>
      <c r="AZ110" s="549"/>
      <c r="BA110" s="549"/>
      <c r="BB110" s="549"/>
      <c r="BC110" s="549"/>
      <c r="BD110" s="549"/>
      <c r="BE110" s="549"/>
      <c r="BF110" s="549"/>
      <c r="BG110" s="549"/>
      <c r="BH110" s="549"/>
      <c r="BI110" s="549"/>
      <c r="BJ110" s="549"/>
      <c r="BK110" s="549"/>
      <c r="BL110" s="549"/>
      <c r="BM110" s="549"/>
      <c r="BN110" s="549"/>
      <c r="BO110" s="549"/>
      <c r="BP110" s="549"/>
      <c r="BQ110" s="549"/>
      <c r="BR110" s="549"/>
      <c r="BS110" s="549"/>
      <c r="BT110" s="549"/>
      <c r="BU110" s="549"/>
      <c r="BV110" s="549"/>
      <c r="BW110" s="549"/>
      <c r="BX110" s="549"/>
      <c r="BY110" s="549"/>
      <c r="BZ110" s="549"/>
      <c r="CA110" s="549"/>
    </row>
    <row r="111" spans="1:79" ht="15.75" customHeight="1">
      <c r="A111" s="614"/>
      <c r="B111" s="549"/>
      <c r="C111" s="549"/>
      <c r="D111" s="549"/>
      <c r="E111" s="549"/>
      <c r="F111" s="549"/>
      <c r="G111" s="549"/>
      <c r="H111" s="549"/>
      <c r="I111" s="549"/>
      <c r="J111" s="549"/>
      <c r="K111" s="549"/>
      <c r="L111" s="549"/>
      <c r="M111" s="549"/>
      <c r="N111" s="549"/>
      <c r="O111" s="549"/>
      <c r="P111" s="549"/>
      <c r="Q111" s="549"/>
      <c r="R111" s="549"/>
      <c r="S111" s="549"/>
      <c r="T111" s="549"/>
      <c r="U111" s="549"/>
      <c r="V111" s="549"/>
      <c r="W111" s="549"/>
      <c r="X111" s="549"/>
      <c r="Y111" s="549"/>
      <c r="Z111" s="549"/>
      <c r="AA111" s="549"/>
      <c r="AB111" s="549"/>
      <c r="AC111" s="549"/>
      <c r="AD111" s="549"/>
      <c r="AE111" s="549"/>
      <c r="AF111" s="549"/>
      <c r="AG111" s="549"/>
      <c r="AH111" s="549"/>
      <c r="AI111" s="549"/>
      <c r="AJ111" s="549"/>
      <c r="AK111" s="549"/>
      <c r="AL111" s="549"/>
      <c r="AM111" s="549"/>
      <c r="AN111" s="549"/>
      <c r="AO111" s="549"/>
      <c r="AP111" s="549"/>
      <c r="AQ111" s="549"/>
      <c r="AR111" s="549"/>
      <c r="AS111" s="549"/>
      <c r="AT111" s="549"/>
      <c r="AU111" s="549"/>
      <c r="AV111" s="549"/>
      <c r="AW111" s="549"/>
      <c r="AX111" s="549"/>
      <c r="AY111" s="549"/>
      <c r="AZ111" s="549"/>
      <c r="BA111" s="549"/>
      <c r="BB111" s="549"/>
      <c r="BC111" s="549"/>
      <c r="BD111" s="549"/>
      <c r="BE111" s="549"/>
      <c r="BF111" s="549"/>
      <c r="BG111" s="549"/>
      <c r="BH111" s="549"/>
      <c r="BI111" s="549"/>
      <c r="BJ111" s="549"/>
      <c r="BK111" s="549"/>
      <c r="BL111" s="549"/>
      <c r="BM111" s="549"/>
      <c r="BN111" s="549"/>
      <c r="BO111" s="549"/>
      <c r="BP111" s="549"/>
      <c r="BQ111" s="549"/>
      <c r="BR111" s="549"/>
      <c r="BS111" s="549"/>
      <c r="BT111" s="549"/>
      <c r="BU111" s="549"/>
      <c r="BV111" s="549"/>
      <c r="BW111" s="549"/>
      <c r="BX111" s="549"/>
      <c r="BY111" s="549"/>
      <c r="BZ111" s="549"/>
      <c r="CA111" s="549"/>
    </row>
    <row r="112" spans="1:79" ht="15.75" customHeight="1">
      <c r="A112" s="614"/>
      <c r="B112" s="549"/>
      <c r="C112" s="549"/>
      <c r="D112" s="549"/>
      <c r="E112" s="549"/>
      <c r="F112" s="549"/>
      <c r="G112" s="549"/>
      <c r="H112" s="549"/>
      <c r="I112" s="549"/>
      <c r="J112" s="549"/>
      <c r="K112" s="549"/>
      <c r="L112" s="549"/>
      <c r="M112" s="549"/>
      <c r="N112" s="549"/>
      <c r="O112" s="549"/>
      <c r="P112" s="549"/>
      <c r="Q112" s="549"/>
      <c r="R112" s="549"/>
      <c r="S112" s="549"/>
      <c r="T112" s="549"/>
      <c r="U112" s="549"/>
      <c r="V112" s="549"/>
      <c r="W112" s="549"/>
      <c r="X112" s="549"/>
      <c r="Y112" s="549"/>
      <c r="Z112" s="549"/>
      <c r="AA112" s="549"/>
      <c r="AB112" s="549"/>
      <c r="AC112" s="549"/>
      <c r="AD112" s="549"/>
      <c r="AE112" s="549"/>
      <c r="AF112" s="549"/>
      <c r="AG112" s="549"/>
      <c r="AH112" s="549"/>
      <c r="AI112" s="549"/>
      <c r="AJ112" s="549"/>
      <c r="AK112" s="549"/>
      <c r="AL112" s="549"/>
      <c r="AM112" s="549"/>
      <c r="AN112" s="549"/>
      <c r="AO112" s="549"/>
      <c r="AP112" s="549"/>
      <c r="AQ112" s="549"/>
      <c r="AR112" s="549"/>
      <c r="AS112" s="549"/>
      <c r="AT112" s="549"/>
      <c r="AU112" s="549"/>
      <c r="AV112" s="549"/>
      <c r="AW112" s="549"/>
      <c r="AX112" s="549"/>
      <c r="AY112" s="549"/>
      <c r="AZ112" s="549"/>
      <c r="BA112" s="549"/>
      <c r="BB112" s="549"/>
      <c r="BC112" s="549"/>
      <c r="BD112" s="549"/>
      <c r="BE112" s="549"/>
      <c r="BF112" s="549"/>
      <c r="BG112" s="549"/>
      <c r="BH112" s="549"/>
      <c r="BI112" s="549"/>
      <c r="BJ112" s="549"/>
      <c r="BK112" s="549"/>
      <c r="BL112" s="549"/>
      <c r="BM112" s="549"/>
      <c r="BN112" s="549"/>
      <c r="BO112" s="549"/>
      <c r="BP112" s="549"/>
      <c r="BQ112" s="549"/>
      <c r="BR112" s="549"/>
      <c r="BS112" s="549"/>
      <c r="BT112" s="549"/>
      <c r="BU112" s="549"/>
      <c r="BV112" s="549"/>
      <c r="BW112" s="549"/>
      <c r="BX112" s="549"/>
      <c r="BY112" s="549"/>
      <c r="BZ112" s="549"/>
      <c r="CA112" s="549"/>
    </row>
    <row r="113" spans="1:79" ht="15.75" customHeight="1">
      <c r="A113" s="614"/>
      <c r="B113" s="549"/>
      <c r="C113" s="549"/>
      <c r="D113" s="549"/>
      <c r="E113" s="549"/>
      <c r="F113" s="549"/>
      <c r="G113" s="549"/>
      <c r="H113" s="549"/>
      <c r="I113" s="549"/>
      <c r="J113" s="549"/>
      <c r="K113" s="549"/>
      <c r="L113" s="549"/>
      <c r="M113" s="549"/>
      <c r="N113" s="549"/>
      <c r="O113" s="549"/>
      <c r="P113" s="549"/>
      <c r="Q113" s="549"/>
      <c r="R113" s="549"/>
      <c r="S113" s="549"/>
      <c r="T113" s="549"/>
      <c r="U113" s="549"/>
      <c r="V113" s="549"/>
      <c r="W113" s="549"/>
      <c r="X113" s="549"/>
      <c r="Y113" s="549"/>
      <c r="Z113" s="549"/>
      <c r="AA113" s="549"/>
      <c r="AB113" s="549"/>
      <c r="AC113" s="549"/>
      <c r="AD113" s="549"/>
      <c r="AE113" s="549"/>
      <c r="AF113" s="549"/>
      <c r="AG113" s="549"/>
      <c r="AH113" s="549"/>
      <c r="AI113" s="549"/>
      <c r="AJ113" s="549"/>
      <c r="AK113" s="549"/>
      <c r="AL113" s="549"/>
      <c r="AM113" s="549"/>
      <c r="AN113" s="549"/>
      <c r="AO113" s="549"/>
      <c r="AP113" s="549"/>
      <c r="AQ113" s="549"/>
      <c r="AR113" s="549"/>
      <c r="AS113" s="549"/>
      <c r="AT113" s="549"/>
      <c r="AU113" s="549"/>
      <c r="AV113" s="549"/>
      <c r="AW113" s="549"/>
      <c r="AX113" s="549"/>
      <c r="AY113" s="549"/>
      <c r="AZ113" s="549"/>
      <c r="BA113" s="549"/>
      <c r="BB113" s="549"/>
      <c r="BC113" s="549"/>
      <c r="BD113" s="549"/>
      <c r="BE113" s="549"/>
      <c r="BF113" s="549"/>
      <c r="BG113" s="549"/>
      <c r="BH113" s="549"/>
      <c r="BI113" s="549"/>
      <c r="BJ113" s="549"/>
      <c r="BK113" s="549"/>
      <c r="BL113" s="549"/>
      <c r="BM113" s="549"/>
      <c r="BN113" s="549"/>
      <c r="BO113" s="549"/>
      <c r="BP113" s="549"/>
      <c r="BQ113" s="549"/>
      <c r="BR113" s="549"/>
      <c r="BS113" s="549"/>
      <c r="BT113" s="549"/>
      <c r="BU113" s="549"/>
      <c r="BV113" s="549"/>
      <c r="BW113" s="549"/>
      <c r="BX113" s="549"/>
      <c r="BY113" s="549"/>
      <c r="BZ113" s="549"/>
      <c r="CA113" s="549"/>
    </row>
    <row r="114" spans="1:79" ht="15.75" customHeight="1">
      <c r="A114" s="614"/>
      <c r="B114" s="549"/>
      <c r="C114" s="549"/>
      <c r="D114" s="549"/>
      <c r="E114" s="549"/>
      <c r="F114" s="549"/>
      <c r="G114" s="549"/>
      <c r="H114" s="549"/>
      <c r="I114" s="549"/>
      <c r="J114" s="549"/>
      <c r="K114" s="549"/>
      <c r="L114" s="549"/>
      <c r="M114" s="549"/>
      <c r="N114" s="549"/>
      <c r="O114" s="549"/>
      <c r="P114" s="549"/>
      <c r="Q114" s="549"/>
      <c r="R114" s="549"/>
      <c r="S114" s="549"/>
      <c r="T114" s="549"/>
      <c r="U114" s="549"/>
      <c r="V114" s="549"/>
      <c r="W114" s="549"/>
      <c r="X114" s="549"/>
      <c r="Y114" s="549"/>
      <c r="Z114" s="549"/>
      <c r="AA114" s="549"/>
      <c r="AB114" s="549"/>
      <c r="AC114" s="549"/>
      <c r="AD114" s="549"/>
      <c r="AE114" s="549"/>
      <c r="AF114" s="549"/>
      <c r="AG114" s="549"/>
      <c r="AH114" s="549"/>
      <c r="AI114" s="549"/>
      <c r="AJ114" s="549"/>
      <c r="AK114" s="549"/>
      <c r="AL114" s="549"/>
      <c r="AM114" s="549"/>
      <c r="AN114" s="549"/>
      <c r="AO114" s="549"/>
      <c r="AP114" s="549"/>
      <c r="AQ114" s="549"/>
      <c r="AR114" s="549"/>
      <c r="AS114" s="549"/>
      <c r="AT114" s="549"/>
      <c r="AU114" s="549"/>
      <c r="AV114" s="549"/>
      <c r="AW114" s="549"/>
      <c r="AX114" s="549"/>
      <c r="AY114" s="549"/>
      <c r="AZ114" s="549"/>
      <c r="BA114" s="549"/>
      <c r="BB114" s="549"/>
      <c r="BC114" s="549"/>
      <c r="BD114" s="549"/>
      <c r="BE114" s="549"/>
      <c r="BF114" s="549"/>
      <c r="BG114" s="549"/>
      <c r="BH114" s="549"/>
      <c r="BI114" s="549"/>
      <c r="BJ114" s="549"/>
      <c r="BK114" s="549"/>
      <c r="BL114" s="549"/>
      <c r="BM114" s="549"/>
      <c r="BN114" s="549"/>
      <c r="BO114" s="549"/>
      <c r="BP114" s="549"/>
      <c r="BQ114" s="549"/>
      <c r="BR114" s="549"/>
      <c r="BS114" s="549"/>
      <c r="BT114" s="549"/>
      <c r="BU114" s="549"/>
      <c r="BV114" s="549"/>
      <c r="BW114" s="549"/>
      <c r="BX114" s="549"/>
      <c r="BY114" s="549"/>
      <c r="BZ114" s="549"/>
      <c r="CA114" s="549"/>
    </row>
    <row r="115" spans="1:79" ht="15.75" customHeight="1">
      <c r="A115" s="614"/>
      <c r="B115" s="549"/>
      <c r="C115" s="549"/>
      <c r="D115" s="549"/>
      <c r="E115" s="549"/>
      <c r="F115" s="549"/>
      <c r="G115" s="549"/>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549"/>
      <c r="AL115" s="549"/>
      <c r="AM115" s="549"/>
      <c r="AN115" s="549"/>
      <c r="AO115" s="549"/>
      <c r="AP115" s="549"/>
      <c r="AQ115" s="549"/>
      <c r="AR115" s="549"/>
      <c r="AS115" s="549"/>
      <c r="AT115" s="549"/>
      <c r="AU115" s="549"/>
      <c r="AV115" s="549"/>
      <c r="AW115" s="549"/>
      <c r="AX115" s="549"/>
      <c r="AY115" s="549"/>
      <c r="AZ115" s="549"/>
      <c r="BA115" s="549"/>
      <c r="BB115" s="549"/>
      <c r="BC115" s="549"/>
      <c r="BD115" s="549"/>
      <c r="BE115" s="549"/>
      <c r="BF115" s="549"/>
      <c r="BG115" s="549"/>
      <c r="BH115" s="549"/>
      <c r="BI115" s="549"/>
      <c r="BJ115" s="549"/>
      <c r="BK115" s="549"/>
      <c r="BL115" s="549"/>
      <c r="BM115" s="549"/>
      <c r="BN115" s="549"/>
      <c r="BO115" s="549"/>
      <c r="BP115" s="549"/>
      <c r="BQ115" s="549"/>
      <c r="BR115" s="549"/>
      <c r="BS115" s="549"/>
      <c r="BT115" s="549"/>
      <c r="BU115" s="549"/>
      <c r="BV115" s="549"/>
      <c r="BW115" s="549"/>
      <c r="BX115" s="549"/>
      <c r="BY115" s="549"/>
      <c r="BZ115" s="549"/>
      <c r="CA115" s="549"/>
    </row>
    <row r="116" spans="1:79" ht="15.75" customHeight="1">
      <c r="A116" s="614"/>
      <c r="B116" s="549"/>
      <c r="C116" s="549"/>
      <c r="D116" s="549"/>
      <c r="E116" s="549"/>
      <c r="F116" s="549"/>
      <c r="G116" s="549"/>
      <c r="H116" s="549"/>
      <c r="I116" s="549"/>
      <c r="J116" s="549"/>
      <c r="K116" s="549"/>
      <c r="L116" s="549"/>
      <c r="M116" s="549"/>
      <c r="N116" s="549"/>
      <c r="O116" s="549"/>
      <c r="P116" s="549"/>
      <c r="Q116" s="549"/>
      <c r="R116" s="549"/>
      <c r="S116" s="549"/>
      <c r="T116" s="549"/>
      <c r="U116" s="549"/>
      <c r="V116" s="549"/>
      <c r="W116" s="549"/>
      <c r="X116" s="549"/>
      <c r="Y116" s="549"/>
      <c r="Z116" s="549"/>
      <c r="AA116" s="549"/>
      <c r="AB116" s="549"/>
      <c r="AC116" s="549"/>
      <c r="AD116" s="549"/>
      <c r="AE116" s="549"/>
      <c r="AF116" s="549"/>
      <c r="AG116" s="549"/>
      <c r="AH116" s="549"/>
      <c r="AI116" s="549"/>
      <c r="AJ116" s="549"/>
      <c r="AK116" s="549"/>
      <c r="AL116" s="549"/>
      <c r="AM116" s="549"/>
      <c r="AN116" s="549"/>
      <c r="AO116" s="549"/>
      <c r="AP116" s="549"/>
      <c r="AQ116" s="549"/>
      <c r="AR116" s="549"/>
      <c r="AS116" s="549"/>
      <c r="AT116" s="549"/>
      <c r="AU116" s="549"/>
      <c r="AV116" s="549"/>
      <c r="AW116" s="549"/>
      <c r="AX116" s="549"/>
      <c r="AY116" s="549"/>
      <c r="AZ116" s="549"/>
      <c r="BA116" s="549"/>
      <c r="BB116" s="549"/>
      <c r="BC116" s="549"/>
      <c r="BD116" s="549"/>
      <c r="BE116" s="549"/>
      <c r="BF116" s="549"/>
      <c r="BG116" s="549"/>
      <c r="BH116" s="549"/>
      <c r="BI116" s="549"/>
      <c r="BJ116" s="549"/>
      <c r="BK116" s="549"/>
      <c r="BL116" s="549"/>
      <c r="BM116" s="549"/>
      <c r="BN116" s="549"/>
      <c r="BO116" s="549"/>
      <c r="BP116" s="549"/>
      <c r="BQ116" s="549"/>
      <c r="BR116" s="549"/>
      <c r="BS116" s="549"/>
      <c r="BT116" s="549"/>
      <c r="BU116" s="549"/>
      <c r="BV116" s="549"/>
      <c r="BW116" s="549"/>
      <c r="BX116" s="549"/>
      <c r="BY116" s="549"/>
      <c r="BZ116" s="549"/>
      <c r="CA116" s="549"/>
    </row>
    <row r="117" spans="1:79" ht="15.75" customHeight="1">
      <c r="A117" s="614"/>
      <c r="B117" s="549"/>
      <c r="C117" s="549"/>
      <c r="D117" s="549"/>
      <c r="E117" s="549"/>
      <c r="F117" s="549"/>
      <c r="G117" s="549"/>
      <c r="H117" s="549"/>
      <c r="I117" s="549"/>
      <c r="J117" s="549"/>
      <c r="K117" s="549"/>
      <c r="L117" s="549"/>
      <c r="M117" s="549"/>
      <c r="N117" s="549"/>
      <c r="O117" s="549"/>
      <c r="P117" s="549"/>
      <c r="Q117" s="549"/>
      <c r="R117" s="549"/>
      <c r="S117" s="549"/>
      <c r="T117" s="549"/>
      <c r="U117" s="549"/>
      <c r="V117" s="549"/>
      <c r="W117" s="549"/>
      <c r="X117" s="549"/>
      <c r="Y117" s="549"/>
      <c r="Z117" s="549"/>
      <c r="AA117" s="549"/>
      <c r="AB117" s="549"/>
      <c r="AC117" s="549"/>
      <c r="AD117" s="549"/>
      <c r="AE117" s="549"/>
      <c r="AF117" s="549"/>
      <c r="AG117" s="549"/>
      <c r="AH117" s="549"/>
      <c r="AI117" s="549"/>
      <c r="AJ117" s="549"/>
      <c r="AK117" s="549"/>
      <c r="AL117" s="549"/>
      <c r="AM117" s="549"/>
      <c r="AN117" s="549"/>
      <c r="AO117" s="549"/>
      <c r="AP117" s="549"/>
      <c r="AQ117" s="549"/>
      <c r="AR117" s="549"/>
      <c r="AS117" s="549"/>
      <c r="AT117" s="549"/>
      <c r="AU117" s="549"/>
      <c r="AV117" s="549"/>
      <c r="AW117" s="549"/>
      <c r="AX117" s="549"/>
      <c r="AY117" s="549"/>
      <c r="AZ117" s="549"/>
      <c r="BA117" s="549"/>
      <c r="BB117" s="549"/>
      <c r="BC117" s="549"/>
      <c r="BD117" s="549"/>
      <c r="BE117" s="549"/>
      <c r="BF117" s="549"/>
      <c r="BG117" s="549"/>
      <c r="BH117" s="549"/>
      <c r="BI117" s="549"/>
      <c r="BJ117" s="549"/>
      <c r="BK117" s="549"/>
      <c r="BL117" s="549"/>
      <c r="BM117" s="549"/>
      <c r="BN117" s="549"/>
      <c r="BO117" s="549"/>
      <c r="BP117" s="549"/>
      <c r="BQ117" s="549"/>
      <c r="BR117" s="549"/>
      <c r="BS117" s="549"/>
      <c r="BT117" s="549"/>
      <c r="BU117" s="549"/>
      <c r="BV117" s="549"/>
      <c r="BW117" s="549"/>
      <c r="BX117" s="549"/>
      <c r="BY117" s="549"/>
      <c r="BZ117" s="549"/>
      <c r="CA117" s="549"/>
    </row>
    <row r="118" spans="1:79" ht="15.75" customHeight="1">
      <c r="A118" s="614"/>
      <c r="B118" s="549"/>
      <c r="C118" s="549"/>
      <c r="D118" s="549"/>
      <c r="E118" s="549"/>
      <c r="F118" s="549"/>
      <c r="G118" s="549"/>
      <c r="H118" s="549"/>
      <c r="I118" s="549"/>
      <c r="J118" s="549"/>
      <c r="K118" s="549"/>
      <c r="L118" s="549"/>
      <c r="M118" s="549"/>
      <c r="N118" s="549"/>
      <c r="O118" s="549"/>
      <c r="P118" s="549"/>
      <c r="Q118" s="549"/>
      <c r="R118" s="549"/>
      <c r="S118" s="549"/>
      <c r="T118" s="549"/>
      <c r="U118" s="549"/>
      <c r="V118" s="549"/>
      <c r="W118" s="549"/>
      <c r="X118" s="549"/>
      <c r="Y118" s="549"/>
      <c r="Z118" s="549"/>
      <c r="AA118" s="549"/>
      <c r="AB118" s="549"/>
      <c r="AC118" s="549"/>
      <c r="AD118" s="549"/>
      <c r="AE118" s="549"/>
      <c r="AF118" s="549"/>
      <c r="AG118" s="549"/>
      <c r="AH118" s="549"/>
      <c r="AI118" s="549"/>
      <c r="AJ118" s="549"/>
      <c r="AK118" s="549"/>
      <c r="AL118" s="549"/>
      <c r="AM118" s="549"/>
      <c r="AN118" s="549"/>
      <c r="AO118" s="549"/>
      <c r="AP118" s="549"/>
      <c r="AQ118" s="549"/>
      <c r="AR118" s="549"/>
      <c r="AS118" s="549"/>
      <c r="AT118" s="549"/>
      <c r="AU118" s="549"/>
      <c r="AV118" s="549"/>
      <c r="AW118" s="549"/>
      <c r="AX118" s="549"/>
      <c r="AY118" s="549"/>
      <c r="AZ118" s="549"/>
      <c r="BA118" s="549"/>
      <c r="BB118" s="549"/>
      <c r="BC118" s="549"/>
      <c r="BD118" s="549"/>
      <c r="BE118" s="549"/>
      <c r="BF118" s="549"/>
      <c r="BG118" s="549"/>
      <c r="BH118" s="549"/>
      <c r="BI118" s="549"/>
      <c r="BJ118" s="549"/>
      <c r="BK118" s="549"/>
      <c r="BL118" s="549"/>
      <c r="BM118" s="549"/>
      <c r="BN118" s="549"/>
      <c r="BO118" s="549"/>
      <c r="BP118" s="549"/>
      <c r="BQ118" s="549"/>
      <c r="BR118" s="549"/>
      <c r="BS118" s="549"/>
      <c r="BT118" s="549"/>
      <c r="BU118" s="549"/>
      <c r="BV118" s="549"/>
      <c r="BW118" s="549"/>
      <c r="BX118" s="549"/>
      <c r="BY118" s="549"/>
      <c r="BZ118" s="549"/>
      <c r="CA118" s="549"/>
    </row>
    <row r="119" spans="1:79" ht="15.75" customHeight="1">
      <c r="A119" s="614"/>
      <c r="B119" s="549"/>
      <c r="C119" s="549"/>
      <c r="D119" s="549"/>
      <c r="E119" s="549"/>
      <c r="F119" s="549"/>
      <c r="G119" s="549"/>
      <c r="H119" s="549"/>
      <c r="I119" s="549"/>
      <c r="J119" s="549"/>
      <c r="K119" s="549"/>
      <c r="L119" s="549"/>
      <c r="M119" s="549"/>
      <c r="N119" s="549"/>
      <c r="O119" s="549"/>
      <c r="P119" s="549"/>
      <c r="Q119" s="549"/>
      <c r="R119" s="549"/>
      <c r="S119" s="549"/>
      <c r="T119" s="549"/>
      <c r="U119" s="549"/>
      <c r="V119" s="549"/>
      <c r="W119" s="549"/>
      <c r="X119" s="549"/>
      <c r="Y119" s="549"/>
      <c r="Z119" s="549"/>
      <c r="AA119" s="549"/>
      <c r="AB119" s="549"/>
      <c r="AC119" s="549"/>
      <c r="AD119" s="549"/>
      <c r="AE119" s="549"/>
      <c r="AF119" s="549"/>
      <c r="AG119" s="549"/>
      <c r="AH119" s="549"/>
      <c r="AI119" s="549"/>
      <c r="AJ119" s="549"/>
      <c r="AK119" s="549"/>
      <c r="AL119" s="549"/>
      <c r="AM119" s="549"/>
      <c r="AN119" s="549"/>
      <c r="AO119" s="549"/>
      <c r="AP119" s="549"/>
      <c r="AQ119" s="549"/>
      <c r="AR119" s="549"/>
      <c r="AS119" s="549"/>
      <c r="AT119" s="549"/>
      <c r="AU119" s="549"/>
      <c r="AV119" s="549"/>
      <c r="AW119" s="549"/>
      <c r="AX119" s="549"/>
      <c r="AY119" s="549"/>
      <c r="AZ119" s="549"/>
      <c r="BA119" s="549"/>
      <c r="BB119" s="549"/>
      <c r="BC119" s="549"/>
      <c r="BD119" s="549"/>
      <c r="BE119" s="549"/>
      <c r="BF119" s="549"/>
      <c r="BG119" s="549"/>
      <c r="BH119" s="549"/>
      <c r="BI119" s="549"/>
      <c r="BJ119" s="549"/>
      <c r="BK119" s="549"/>
      <c r="BL119" s="549"/>
      <c r="BM119" s="549"/>
      <c r="BN119" s="549"/>
      <c r="BO119" s="549"/>
      <c r="BP119" s="549"/>
      <c r="BQ119" s="549"/>
      <c r="BR119" s="549"/>
      <c r="BS119" s="549"/>
      <c r="BT119" s="549"/>
      <c r="BU119" s="549"/>
      <c r="BV119" s="549"/>
      <c r="BW119" s="549"/>
      <c r="BX119" s="549"/>
      <c r="BY119" s="549"/>
      <c r="BZ119" s="549"/>
      <c r="CA119" s="549"/>
    </row>
    <row r="120" spans="1:79" ht="15.75" customHeight="1">
      <c r="A120" s="614"/>
      <c r="B120" s="549"/>
      <c r="C120" s="549"/>
      <c r="D120" s="549"/>
      <c r="E120" s="549"/>
      <c r="F120" s="549"/>
      <c r="G120" s="549"/>
      <c r="H120" s="549"/>
      <c r="I120" s="549"/>
      <c r="J120" s="549"/>
      <c r="K120" s="549"/>
      <c r="L120" s="549"/>
      <c r="M120" s="549"/>
      <c r="N120" s="549"/>
      <c r="O120" s="549"/>
      <c r="P120" s="549"/>
      <c r="Q120" s="549"/>
      <c r="R120" s="549"/>
      <c r="S120" s="549"/>
      <c r="T120" s="549"/>
      <c r="U120" s="549"/>
      <c r="V120" s="549"/>
      <c r="W120" s="549"/>
      <c r="X120" s="549"/>
      <c r="Y120" s="549"/>
      <c r="Z120" s="549"/>
      <c r="AA120" s="549"/>
      <c r="AB120" s="549"/>
      <c r="AC120" s="549"/>
      <c r="AD120" s="549"/>
      <c r="AE120" s="549"/>
      <c r="AF120" s="549"/>
      <c r="AG120" s="549"/>
      <c r="AH120" s="549"/>
      <c r="AI120" s="549"/>
      <c r="AJ120" s="549"/>
      <c r="AK120" s="549"/>
      <c r="AL120" s="549"/>
      <c r="AM120" s="549"/>
      <c r="AN120" s="549"/>
      <c r="AO120" s="549"/>
      <c r="AP120" s="549"/>
      <c r="AQ120" s="549"/>
      <c r="AR120" s="549"/>
      <c r="AS120" s="549"/>
      <c r="AT120" s="549"/>
      <c r="AU120" s="549"/>
      <c r="AV120" s="549"/>
      <c r="AW120" s="549"/>
      <c r="AX120" s="549"/>
      <c r="AY120" s="549"/>
      <c r="AZ120" s="549"/>
      <c r="BA120" s="549"/>
      <c r="BB120" s="549"/>
      <c r="BC120" s="549"/>
      <c r="BD120" s="549"/>
      <c r="BE120" s="549"/>
      <c r="BF120" s="549"/>
      <c r="BG120" s="549"/>
      <c r="BH120" s="549"/>
      <c r="BI120" s="549"/>
      <c r="BJ120" s="549"/>
      <c r="BK120" s="549"/>
      <c r="BL120" s="549"/>
      <c r="BM120" s="549"/>
      <c r="BN120" s="549"/>
      <c r="BO120" s="549"/>
      <c r="BP120" s="549"/>
      <c r="BQ120" s="549"/>
      <c r="BR120" s="549"/>
      <c r="BS120" s="549"/>
      <c r="BT120" s="549"/>
      <c r="BU120" s="549"/>
      <c r="BV120" s="549"/>
      <c r="BW120" s="549"/>
      <c r="BX120" s="549"/>
      <c r="BY120" s="549"/>
      <c r="BZ120" s="549"/>
      <c r="CA120" s="549"/>
    </row>
    <row r="121" spans="1:79" ht="15.75" customHeight="1">
      <c r="A121" s="614"/>
      <c r="B121" s="549"/>
      <c r="C121" s="549"/>
      <c r="D121" s="549"/>
      <c r="E121" s="549"/>
      <c r="F121" s="549"/>
      <c r="G121" s="549"/>
      <c r="H121" s="549"/>
      <c r="I121" s="549"/>
      <c r="J121" s="549"/>
      <c r="K121" s="549"/>
      <c r="L121" s="549"/>
      <c r="M121" s="549"/>
      <c r="N121" s="549"/>
      <c r="O121" s="549"/>
      <c r="P121" s="549"/>
      <c r="Q121" s="549"/>
      <c r="R121" s="549"/>
      <c r="S121" s="549"/>
      <c r="T121" s="549"/>
      <c r="U121" s="549"/>
      <c r="V121" s="549"/>
      <c r="W121" s="549"/>
      <c r="X121" s="549"/>
      <c r="Y121" s="549"/>
      <c r="Z121" s="549"/>
      <c r="AA121" s="549"/>
      <c r="AB121" s="549"/>
      <c r="AC121" s="549"/>
      <c r="AD121" s="549"/>
      <c r="AE121" s="549"/>
      <c r="AF121" s="549"/>
      <c r="AG121" s="549"/>
      <c r="AH121" s="549"/>
      <c r="AI121" s="549"/>
      <c r="AJ121" s="549"/>
      <c r="AK121" s="549"/>
      <c r="AL121" s="549"/>
      <c r="AM121" s="549"/>
      <c r="AN121" s="549"/>
      <c r="AO121" s="549"/>
      <c r="AP121" s="549"/>
      <c r="AQ121" s="549"/>
      <c r="AR121" s="549"/>
      <c r="AS121" s="549"/>
      <c r="AT121" s="549"/>
      <c r="AU121" s="549"/>
      <c r="AV121" s="549"/>
      <c r="AW121" s="549"/>
      <c r="AX121" s="549"/>
      <c r="AY121" s="549"/>
      <c r="AZ121" s="549"/>
      <c r="BA121" s="549"/>
      <c r="BB121" s="549"/>
      <c r="BC121" s="549"/>
      <c r="BD121" s="549"/>
      <c r="BE121" s="549"/>
      <c r="BF121" s="549"/>
      <c r="BG121" s="549"/>
      <c r="BH121" s="549"/>
      <c r="BI121" s="549"/>
      <c r="BJ121" s="549"/>
      <c r="BK121" s="549"/>
      <c r="BL121" s="549"/>
      <c r="BM121" s="549"/>
      <c r="BN121" s="549"/>
      <c r="BO121" s="549"/>
      <c r="BP121" s="549"/>
      <c r="BQ121" s="549"/>
      <c r="BR121" s="549"/>
      <c r="BS121" s="549"/>
      <c r="BT121" s="549"/>
      <c r="BU121" s="549"/>
      <c r="BV121" s="549"/>
      <c r="BW121" s="549"/>
      <c r="BX121" s="549"/>
      <c r="BY121" s="549"/>
      <c r="BZ121" s="549"/>
      <c r="CA121" s="549"/>
    </row>
    <row r="122" spans="1:79" ht="15.75" customHeight="1">
      <c r="A122" s="614"/>
      <c r="B122" s="549"/>
      <c r="C122" s="549"/>
      <c r="D122" s="549"/>
      <c r="E122" s="549"/>
      <c r="F122" s="549"/>
      <c r="G122" s="549"/>
      <c r="H122" s="549"/>
      <c r="I122" s="549"/>
      <c r="J122" s="549"/>
      <c r="K122" s="549"/>
      <c r="L122" s="549"/>
      <c r="M122" s="549"/>
      <c r="N122" s="549"/>
      <c r="O122" s="549"/>
      <c r="P122" s="549"/>
      <c r="Q122" s="549"/>
      <c r="R122" s="549"/>
      <c r="S122" s="549"/>
      <c r="T122" s="549"/>
      <c r="U122" s="549"/>
      <c r="V122" s="549"/>
      <c r="W122" s="549"/>
      <c r="X122" s="549"/>
      <c r="Y122" s="549"/>
      <c r="Z122" s="549"/>
      <c r="AA122" s="549"/>
      <c r="AB122" s="549"/>
      <c r="AC122" s="549"/>
      <c r="AD122" s="549"/>
      <c r="AE122" s="549"/>
      <c r="AF122" s="549"/>
      <c r="AG122" s="549"/>
      <c r="AH122" s="549"/>
      <c r="AI122" s="549"/>
      <c r="AJ122" s="549"/>
      <c r="AK122" s="549"/>
      <c r="AL122" s="549"/>
      <c r="AM122" s="549"/>
      <c r="AN122" s="549"/>
      <c r="AO122" s="549"/>
      <c r="AP122" s="549"/>
      <c r="AQ122" s="549"/>
      <c r="AR122" s="549"/>
      <c r="AS122" s="549"/>
      <c r="AT122" s="549"/>
      <c r="AU122" s="549"/>
      <c r="AV122" s="549"/>
      <c r="AW122" s="549"/>
      <c r="AX122" s="549"/>
      <c r="AY122" s="549"/>
      <c r="AZ122" s="549"/>
      <c r="BA122" s="549"/>
      <c r="BB122" s="549"/>
      <c r="BC122" s="549"/>
      <c r="BD122" s="549"/>
      <c r="BE122" s="549"/>
      <c r="BF122" s="549"/>
      <c r="BG122" s="549"/>
      <c r="BH122" s="549"/>
      <c r="BI122" s="549"/>
      <c r="BJ122" s="549"/>
      <c r="BK122" s="549"/>
      <c r="BL122" s="549"/>
      <c r="BM122" s="549"/>
      <c r="BN122" s="549"/>
      <c r="BO122" s="549"/>
      <c r="BP122" s="549"/>
      <c r="BQ122" s="549"/>
      <c r="BR122" s="549"/>
      <c r="BS122" s="549"/>
      <c r="BT122" s="549"/>
      <c r="BU122" s="549"/>
      <c r="BV122" s="549"/>
      <c r="BW122" s="549"/>
      <c r="BX122" s="549"/>
      <c r="BY122" s="549"/>
      <c r="BZ122" s="549"/>
      <c r="CA122" s="549"/>
    </row>
    <row r="123" spans="1:79" ht="15.75" customHeight="1">
      <c r="A123" s="614"/>
      <c r="B123" s="549"/>
      <c r="C123" s="549"/>
      <c r="D123" s="549"/>
      <c r="E123" s="549"/>
      <c r="F123" s="549"/>
      <c r="G123" s="549"/>
      <c r="H123" s="549"/>
      <c r="I123" s="549"/>
      <c r="J123" s="549"/>
      <c r="K123" s="549"/>
      <c r="L123" s="549"/>
      <c r="M123" s="549"/>
      <c r="N123" s="549"/>
      <c r="O123" s="549"/>
      <c r="P123" s="549"/>
      <c r="Q123" s="549"/>
      <c r="R123" s="549"/>
      <c r="S123" s="549"/>
      <c r="T123" s="549"/>
      <c r="U123" s="549"/>
      <c r="V123" s="549"/>
      <c r="W123" s="549"/>
      <c r="X123" s="549"/>
      <c r="Y123" s="549"/>
      <c r="Z123" s="549"/>
      <c r="AA123" s="549"/>
      <c r="AB123" s="549"/>
      <c r="AC123" s="549"/>
      <c r="AD123" s="549"/>
      <c r="AE123" s="549"/>
      <c r="AF123" s="549"/>
      <c r="AG123" s="549"/>
      <c r="AH123" s="549"/>
      <c r="AI123" s="549"/>
      <c r="AJ123" s="549"/>
      <c r="AK123" s="549"/>
      <c r="AL123" s="549"/>
      <c r="AM123" s="549"/>
      <c r="AN123" s="549"/>
      <c r="AO123" s="549"/>
      <c r="AP123" s="549"/>
      <c r="AQ123" s="549"/>
      <c r="AR123" s="549"/>
      <c r="AS123" s="549"/>
      <c r="AT123" s="549"/>
      <c r="AU123" s="549"/>
      <c r="AV123" s="549"/>
      <c r="AW123" s="549"/>
      <c r="AX123" s="549"/>
      <c r="AY123" s="549"/>
      <c r="AZ123" s="549"/>
      <c r="BA123" s="549"/>
      <c r="BB123" s="549"/>
      <c r="BC123" s="549"/>
      <c r="BD123" s="549"/>
      <c r="BE123" s="549"/>
      <c r="BF123" s="549"/>
      <c r="BG123" s="549"/>
      <c r="BH123" s="549"/>
      <c r="BI123" s="549"/>
      <c r="BJ123" s="549"/>
      <c r="BK123" s="549"/>
      <c r="BL123" s="549"/>
      <c r="BM123" s="549"/>
      <c r="BN123" s="549"/>
      <c r="BO123" s="549"/>
      <c r="BP123" s="549"/>
      <c r="BQ123" s="549"/>
      <c r="BR123" s="549"/>
      <c r="BS123" s="549"/>
      <c r="BT123" s="549"/>
      <c r="BU123" s="549"/>
      <c r="BV123" s="549"/>
      <c r="BW123" s="549"/>
      <c r="BX123" s="549"/>
      <c r="BY123" s="549"/>
      <c r="BZ123" s="549"/>
      <c r="CA123" s="549"/>
    </row>
    <row r="124" spans="1:79" ht="15.75" customHeight="1">
      <c r="A124" s="614"/>
      <c r="B124" s="549"/>
      <c r="C124" s="549"/>
      <c r="D124" s="549"/>
      <c r="E124" s="549"/>
      <c r="F124" s="549"/>
      <c r="G124" s="549"/>
      <c r="H124" s="549"/>
      <c r="I124" s="549"/>
      <c r="J124" s="549"/>
      <c r="K124" s="549"/>
      <c r="L124" s="549"/>
      <c r="M124" s="549"/>
      <c r="N124" s="549"/>
      <c r="O124" s="549"/>
      <c r="P124" s="549"/>
      <c r="Q124" s="549"/>
      <c r="R124" s="549"/>
      <c r="S124" s="549"/>
      <c r="T124" s="549"/>
      <c r="U124" s="549"/>
      <c r="V124" s="549"/>
      <c r="W124" s="549"/>
      <c r="X124" s="549"/>
      <c r="Y124" s="549"/>
      <c r="Z124" s="549"/>
      <c r="AA124" s="549"/>
      <c r="AB124" s="549"/>
      <c r="AC124" s="549"/>
      <c r="AD124" s="549"/>
      <c r="AE124" s="549"/>
      <c r="AF124" s="549"/>
      <c r="AG124" s="549"/>
      <c r="AH124" s="549"/>
      <c r="AI124" s="549"/>
      <c r="AJ124" s="549"/>
      <c r="AK124" s="549"/>
      <c r="AL124" s="549"/>
      <c r="AM124" s="549"/>
      <c r="AN124" s="549"/>
      <c r="AO124" s="549"/>
      <c r="AP124" s="549"/>
      <c r="AQ124" s="549"/>
      <c r="AR124" s="549"/>
      <c r="AS124" s="549"/>
      <c r="AT124" s="549"/>
      <c r="AU124" s="549"/>
      <c r="AV124" s="549"/>
      <c r="AW124" s="549"/>
      <c r="AX124" s="549"/>
      <c r="AY124" s="549"/>
      <c r="AZ124" s="549"/>
      <c r="BA124" s="549"/>
      <c r="BB124" s="549"/>
      <c r="BC124" s="549"/>
      <c r="BD124" s="549"/>
      <c r="BE124" s="549"/>
      <c r="BF124" s="549"/>
      <c r="BG124" s="549"/>
      <c r="BH124" s="549"/>
      <c r="BI124" s="549"/>
      <c r="BJ124" s="549"/>
      <c r="BK124" s="549"/>
      <c r="BL124" s="549"/>
      <c r="BM124" s="549"/>
      <c r="BN124" s="549"/>
      <c r="BO124" s="549"/>
      <c r="BP124" s="549"/>
      <c r="BQ124" s="549"/>
      <c r="BR124" s="549"/>
      <c r="BS124" s="549"/>
      <c r="BT124" s="549"/>
      <c r="BU124" s="549"/>
      <c r="BV124" s="549"/>
      <c r="BW124" s="549"/>
      <c r="BX124" s="549"/>
      <c r="BY124" s="549"/>
      <c r="BZ124" s="549"/>
      <c r="CA124" s="549"/>
    </row>
    <row r="125" spans="1:79" ht="15.75" customHeight="1">
      <c r="A125" s="614"/>
      <c r="B125" s="549"/>
      <c r="C125" s="549"/>
      <c r="D125" s="549"/>
      <c r="E125" s="549"/>
      <c r="F125" s="549"/>
      <c r="G125" s="549"/>
      <c r="H125" s="549"/>
      <c r="I125" s="549"/>
      <c r="J125" s="549"/>
      <c r="K125" s="549"/>
      <c r="L125" s="549"/>
      <c r="M125" s="549"/>
      <c r="N125" s="549"/>
      <c r="O125" s="549"/>
      <c r="P125" s="549"/>
      <c r="Q125" s="549"/>
      <c r="R125" s="549"/>
      <c r="S125" s="549"/>
      <c r="T125" s="549"/>
      <c r="U125" s="549"/>
      <c r="V125" s="549"/>
      <c r="W125" s="549"/>
      <c r="X125" s="549"/>
      <c r="Y125" s="549"/>
      <c r="Z125" s="549"/>
      <c r="AA125" s="549"/>
      <c r="AB125" s="549"/>
      <c r="AC125" s="549"/>
      <c r="AD125" s="549"/>
      <c r="AE125" s="549"/>
      <c r="AF125" s="549"/>
      <c r="AG125" s="549"/>
      <c r="AH125" s="549"/>
      <c r="AI125" s="549"/>
      <c r="AJ125" s="549"/>
      <c r="AK125" s="549"/>
      <c r="AL125" s="549"/>
      <c r="AM125" s="549"/>
      <c r="AN125" s="549"/>
      <c r="AO125" s="549"/>
      <c r="AP125" s="549"/>
      <c r="AQ125" s="549"/>
      <c r="AR125" s="549"/>
      <c r="AS125" s="549"/>
      <c r="AT125" s="549"/>
      <c r="AU125" s="549"/>
      <c r="AV125" s="549"/>
      <c r="AW125" s="549"/>
      <c r="AX125" s="549"/>
      <c r="AY125" s="549"/>
      <c r="AZ125" s="549"/>
      <c r="BA125" s="549"/>
      <c r="BB125" s="549"/>
      <c r="BC125" s="549"/>
      <c r="BD125" s="549"/>
      <c r="BE125" s="549"/>
      <c r="BF125" s="549"/>
      <c r="BG125" s="549"/>
      <c r="BH125" s="549"/>
      <c r="BI125" s="549"/>
      <c r="BJ125" s="549"/>
      <c r="BK125" s="549"/>
      <c r="BL125" s="549"/>
      <c r="BM125" s="549"/>
      <c r="BN125" s="549"/>
      <c r="BO125" s="549"/>
      <c r="BP125" s="549"/>
      <c r="BQ125" s="549"/>
      <c r="BR125" s="549"/>
      <c r="BS125" s="549"/>
      <c r="BT125" s="549"/>
      <c r="BU125" s="549"/>
      <c r="BV125" s="549"/>
      <c r="BW125" s="549"/>
      <c r="BX125" s="549"/>
      <c r="BY125" s="549"/>
      <c r="BZ125" s="549"/>
      <c r="CA125" s="549"/>
    </row>
    <row r="126" spans="1:79" ht="15.75" customHeight="1">
      <c r="A126" s="614"/>
      <c r="B126" s="549"/>
      <c r="C126" s="549"/>
      <c r="D126" s="549"/>
      <c r="E126" s="549"/>
      <c r="F126" s="549"/>
      <c r="G126" s="549"/>
      <c r="H126" s="549"/>
      <c r="I126" s="549"/>
      <c r="J126" s="549"/>
      <c r="K126" s="549"/>
      <c r="L126" s="549"/>
      <c r="M126" s="549"/>
      <c r="N126" s="549"/>
      <c r="O126" s="549"/>
      <c r="P126" s="549"/>
      <c r="Q126" s="549"/>
      <c r="R126" s="549"/>
      <c r="S126" s="549"/>
      <c r="T126" s="549"/>
      <c r="U126" s="549"/>
      <c r="V126" s="549"/>
      <c r="W126" s="549"/>
      <c r="X126" s="549"/>
      <c r="Y126" s="549"/>
      <c r="Z126" s="549"/>
      <c r="AA126" s="549"/>
      <c r="AB126" s="549"/>
      <c r="AC126" s="549"/>
      <c r="AD126" s="549"/>
      <c r="AE126" s="549"/>
      <c r="AF126" s="549"/>
      <c r="AG126" s="549"/>
      <c r="AH126" s="549"/>
      <c r="AI126" s="549"/>
      <c r="AJ126" s="549"/>
      <c r="AK126" s="549"/>
      <c r="AL126" s="549"/>
      <c r="AM126" s="549"/>
      <c r="AN126" s="549"/>
      <c r="AO126" s="549"/>
      <c r="AP126" s="549"/>
      <c r="AQ126" s="549"/>
      <c r="AR126" s="549"/>
      <c r="AS126" s="549"/>
      <c r="AT126" s="549"/>
      <c r="AU126" s="549"/>
      <c r="AV126" s="549"/>
      <c r="AW126" s="549"/>
      <c r="AX126" s="549"/>
      <c r="AY126" s="549"/>
      <c r="AZ126" s="549"/>
      <c r="BA126" s="549"/>
      <c r="BB126" s="549"/>
      <c r="BC126" s="549"/>
      <c r="BD126" s="549"/>
      <c r="BE126" s="549"/>
      <c r="BF126" s="549"/>
      <c r="BG126" s="549"/>
      <c r="BH126" s="549"/>
      <c r="BI126" s="549"/>
      <c r="BJ126" s="549"/>
      <c r="BK126" s="549"/>
      <c r="BL126" s="549"/>
      <c r="BM126" s="549"/>
      <c r="BN126" s="549"/>
      <c r="BO126" s="549"/>
      <c r="BP126" s="549"/>
      <c r="BQ126" s="549"/>
      <c r="BR126" s="549"/>
      <c r="BS126" s="549"/>
      <c r="BT126" s="549"/>
      <c r="BU126" s="549"/>
      <c r="BV126" s="549"/>
      <c r="BW126" s="549"/>
      <c r="BX126" s="549"/>
      <c r="BY126" s="549"/>
      <c r="BZ126" s="549"/>
      <c r="CA126" s="549"/>
    </row>
    <row r="127" spans="1:79" ht="15.75" customHeight="1">
      <c r="A127" s="614"/>
      <c r="B127" s="549"/>
      <c r="C127" s="549"/>
      <c r="D127" s="549"/>
      <c r="E127" s="549"/>
      <c r="F127" s="549"/>
      <c r="G127" s="549"/>
      <c r="H127" s="549"/>
      <c r="I127" s="549"/>
      <c r="J127" s="549"/>
      <c r="K127" s="549"/>
      <c r="L127" s="549"/>
      <c r="M127" s="549"/>
      <c r="N127" s="549"/>
      <c r="O127" s="549"/>
      <c r="P127" s="549"/>
      <c r="Q127" s="549"/>
      <c r="R127" s="549"/>
      <c r="S127" s="549"/>
      <c r="T127" s="549"/>
      <c r="U127" s="549"/>
      <c r="V127" s="549"/>
      <c r="W127" s="549"/>
      <c r="X127" s="549"/>
      <c r="Y127" s="549"/>
      <c r="Z127" s="549"/>
      <c r="AA127" s="549"/>
      <c r="AB127" s="549"/>
      <c r="AC127" s="549"/>
      <c r="AD127" s="549"/>
      <c r="AE127" s="549"/>
      <c r="AF127" s="549"/>
      <c r="AG127" s="549"/>
      <c r="AH127" s="549"/>
      <c r="AI127" s="549"/>
      <c r="AJ127" s="549"/>
      <c r="AK127" s="549"/>
      <c r="AL127" s="549"/>
      <c r="AM127" s="549"/>
      <c r="AN127" s="549"/>
      <c r="AO127" s="549"/>
      <c r="AP127" s="549"/>
      <c r="AQ127" s="549"/>
      <c r="AR127" s="549"/>
      <c r="AS127" s="549"/>
      <c r="AT127" s="549"/>
      <c r="AU127" s="549"/>
      <c r="AV127" s="549"/>
      <c r="AW127" s="549"/>
      <c r="AX127" s="549"/>
      <c r="AY127" s="549"/>
      <c r="AZ127" s="549"/>
      <c r="BA127" s="549"/>
      <c r="BB127" s="549"/>
      <c r="BC127" s="549"/>
      <c r="BD127" s="549"/>
      <c r="BE127" s="549"/>
      <c r="BF127" s="549"/>
      <c r="BG127" s="549"/>
      <c r="BH127" s="549"/>
      <c r="BI127" s="549"/>
      <c r="BJ127" s="549"/>
      <c r="BK127" s="549"/>
      <c r="BL127" s="549"/>
      <c r="BM127" s="549"/>
      <c r="BN127" s="549"/>
      <c r="BO127" s="549"/>
      <c r="BP127" s="549"/>
      <c r="BQ127" s="549"/>
      <c r="BR127" s="549"/>
      <c r="BS127" s="549"/>
      <c r="BT127" s="549"/>
      <c r="BU127" s="549"/>
      <c r="BV127" s="549"/>
      <c r="BW127" s="549"/>
      <c r="BX127" s="549"/>
      <c r="BY127" s="549"/>
      <c r="BZ127" s="549"/>
      <c r="CA127" s="549"/>
    </row>
    <row r="128" spans="1:79" ht="15.75" customHeight="1">
      <c r="A128" s="614"/>
      <c r="B128" s="549"/>
      <c r="C128" s="549"/>
      <c r="D128" s="549"/>
      <c r="E128" s="549"/>
      <c r="F128" s="549"/>
      <c r="G128" s="549"/>
      <c r="H128" s="549"/>
      <c r="I128" s="549"/>
      <c r="J128" s="549"/>
      <c r="K128" s="549"/>
      <c r="L128" s="549"/>
      <c r="M128" s="549"/>
      <c r="N128" s="549"/>
      <c r="O128" s="549"/>
      <c r="P128" s="549"/>
      <c r="Q128" s="549"/>
      <c r="R128" s="549"/>
      <c r="S128" s="549"/>
      <c r="T128" s="549"/>
      <c r="U128" s="549"/>
      <c r="V128" s="549"/>
      <c r="W128" s="549"/>
      <c r="X128" s="549"/>
      <c r="Y128" s="549"/>
      <c r="Z128" s="549"/>
      <c r="AA128" s="549"/>
      <c r="AB128" s="549"/>
      <c r="AC128" s="549"/>
      <c r="AD128" s="549"/>
      <c r="AE128" s="549"/>
      <c r="AF128" s="549"/>
      <c r="AG128" s="549"/>
      <c r="AH128" s="549"/>
      <c r="AI128" s="549"/>
      <c r="AJ128" s="549"/>
      <c r="AK128" s="549"/>
      <c r="AL128" s="549"/>
      <c r="AM128" s="549"/>
      <c r="AN128" s="549"/>
      <c r="AO128" s="549"/>
      <c r="AP128" s="549"/>
      <c r="AQ128" s="549"/>
      <c r="AR128" s="549"/>
      <c r="AS128" s="549"/>
      <c r="AT128" s="549"/>
      <c r="AU128" s="549"/>
      <c r="AV128" s="549"/>
      <c r="AW128" s="549"/>
      <c r="AX128" s="549"/>
      <c r="AY128" s="549"/>
      <c r="AZ128" s="549"/>
      <c r="BA128" s="549"/>
      <c r="BB128" s="549"/>
      <c r="BC128" s="549"/>
      <c r="BD128" s="549"/>
      <c r="BE128" s="549"/>
      <c r="BF128" s="549"/>
      <c r="BG128" s="549"/>
      <c r="BH128" s="549"/>
      <c r="BI128" s="549"/>
      <c r="BJ128" s="549"/>
      <c r="BK128" s="549"/>
      <c r="BL128" s="549"/>
      <c r="BM128" s="549"/>
      <c r="BN128" s="549"/>
      <c r="BO128" s="549"/>
      <c r="BP128" s="549"/>
      <c r="BQ128" s="549"/>
      <c r="BR128" s="549"/>
      <c r="BS128" s="549"/>
      <c r="BT128" s="549"/>
      <c r="BU128" s="549"/>
      <c r="BV128" s="549"/>
      <c r="BW128" s="549"/>
      <c r="BX128" s="549"/>
      <c r="BY128" s="549"/>
      <c r="BZ128" s="549"/>
      <c r="CA128" s="549"/>
    </row>
    <row r="129" spans="1:79" ht="15.75" customHeight="1">
      <c r="A129" s="614"/>
      <c r="B129" s="549"/>
      <c r="C129" s="549"/>
      <c r="D129" s="549"/>
      <c r="E129" s="549"/>
      <c r="F129" s="549"/>
      <c r="G129" s="549"/>
      <c r="H129" s="549"/>
      <c r="I129" s="549"/>
      <c r="J129" s="549"/>
      <c r="K129" s="549"/>
      <c r="L129" s="549"/>
      <c r="M129" s="549"/>
      <c r="N129" s="549"/>
      <c r="O129" s="549"/>
      <c r="P129" s="549"/>
      <c r="Q129" s="549"/>
      <c r="R129" s="549"/>
      <c r="S129" s="549"/>
      <c r="T129" s="549"/>
      <c r="U129" s="549"/>
      <c r="V129" s="549"/>
      <c r="W129" s="549"/>
      <c r="X129" s="549"/>
      <c r="Y129" s="549"/>
      <c r="Z129" s="549"/>
      <c r="AA129" s="549"/>
      <c r="AB129" s="549"/>
      <c r="AC129" s="549"/>
      <c r="AD129" s="549"/>
      <c r="AE129" s="549"/>
      <c r="AF129" s="549"/>
      <c r="AG129" s="549"/>
      <c r="AH129" s="549"/>
      <c r="AI129" s="549"/>
      <c r="AJ129" s="549"/>
      <c r="AK129" s="549"/>
      <c r="AL129" s="549"/>
      <c r="AM129" s="549"/>
      <c r="AN129" s="549"/>
      <c r="AO129" s="549"/>
      <c r="AP129" s="549"/>
      <c r="AQ129" s="549"/>
      <c r="AR129" s="549"/>
      <c r="AS129" s="549"/>
      <c r="AT129" s="549"/>
      <c r="AU129" s="549"/>
      <c r="AV129" s="549"/>
      <c r="AW129" s="549"/>
      <c r="AX129" s="549"/>
      <c r="AY129" s="549"/>
      <c r="AZ129" s="549"/>
      <c r="BA129" s="549"/>
      <c r="BB129" s="549"/>
      <c r="BC129" s="549"/>
      <c r="BD129" s="549"/>
      <c r="BE129" s="549"/>
      <c r="BF129" s="549"/>
      <c r="BG129" s="549"/>
      <c r="BH129" s="549"/>
      <c r="BI129" s="549"/>
      <c r="BJ129" s="549"/>
      <c r="BK129" s="549"/>
      <c r="BL129" s="549"/>
      <c r="BM129" s="549"/>
      <c r="BN129" s="549"/>
      <c r="BO129" s="549"/>
      <c r="BP129" s="549"/>
      <c r="BQ129" s="549"/>
      <c r="BR129" s="549"/>
      <c r="BS129" s="549"/>
      <c r="BT129" s="549"/>
      <c r="BU129" s="549"/>
      <c r="BV129" s="549"/>
      <c r="BW129" s="549"/>
      <c r="BX129" s="549"/>
      <c r="BY129" s="549"/>
      <c r="BZ129" s="549"/>
      <c r="CA129" s="549"/>
    </row>
    <row r="130" spans="1:79" ht="15.75" customHeight="1">
      <c r="A130" s="614"/>
      <c r="B130" s="549"/>
      <c r="C130" s="549"/>
      <c r="D130" s="549"/>
      <c r="E130" s="549"/>
      <c r="F130" s="549"/>
      <c r="G130" s="549"/>
      <c r="H130" s="549"/>
      <c r="I130" s="549"/>
      <c r="J130" s="549"/>
      <c r="K130" s="549"/>
      <c r="L130" s="549"/>
      <c r="M130" s="549"/>
      <c r="N130" s="549"/>
      <c r="O130" s="549"/>
      <c r="P130" s="549"/>
      <c r="Q130" s="549"/>
      <c r="R130" s="549"/>
      <c r="S130" s="549"/>
      <c r="T130" s="549"/>
      <c r="U130" s="549"/>
      <c r="V130" s="549"/>
      <c r="W130" s="549"/>
      <c r="X130" s="549"/>
      <c r="Y130" s="549"/>
      <c r="Z130" s="549"/>
      <c r="AA130" s="549"/>
      <c r="AB130" s="549"/>
      <c r="AC130" s="549"/>
      <c r="AD130" s="549"/>
      <c r="AE130" s="549"/>
      <c r="AF130" s="549"/>
      <c r="AG130" s="549"/>
      <c r="AH130" s="549"/>
      <c r="AI130" s="549"/>
      <c r="AJ130" s="549"/>
      <c r="AK130" s="549"/>
      <c r="AL130" s="549"/>
      <c r="AM130" s="549"/>
      <c r="AN130" s="549"/>
      <c r="AO130" s="549"/>
      <c r="AP130" s="549"/>
      <c r="AQ130" s="549"/>
      <c r="AR130" s="549"/>
      <c r="AS130" s="549"/>
      <c r="AT130" s="549"/>
      <c r="AU130" s="549"/>
      <c r="AV130" s="549"/>
      <c r="AW130" s="549"/>
      <c r="AX130" s="549"/>
      <c r="AY130" s="549"/>
      <c r="AZ130" s="549"/>
      <c r="BA130" s="549"/>
      <c r="BB130" s="549"/>
      <c r="BC130" s="549"/>
      <c r="BD130" s="549"/>
      <c r="BE130" s="549"/>
      <c r="BF130" s="549"/>
      <c r="BG130" s="549"/>
      <c r="BH130" s="549"/>
      <c r="BI130" s="549"/>
      <c r="BJ130" s="549"/>
      <c r="BK130" s="549"/>
      <c r="BL130" s="549"/>
      <c r="BM130" s="549"/>
      <c r="BN130" s="549"/>
      <c r="BO130" s="549"/>
      <c r="BP130" s="549"/>
      <c r="BQ130" s="549"/>
      <c r="BR130" s="549"/>
      <c r="BS130" s="549"/>
      <c r="BT130" s="549"/>
      <c r="BU130" s="549"/>
      <c r="BV130" s="549"/>
      <c r="BW130" s="549"/>
      <c r="BX130" s="549"/>
      <c r="BY130" s="549"/>
      <c r="BZ130" s="549"/>
      <c r="CA130" s="549"/>
    </row>
    <row r="131" spans="1:79" ht="15.75" customHeight="1">
      <c r="A131" s="614"/>
      <c r="B131" s="549"/>
      <c r="C131" s="549"/>
      <c r="D131" s="549"/>
      <c r="E131" s="549"/>
      <c r="F131" s="549"/>
      <c r="G131" s="549"/>
      <c r="H131" s="549"/>
      <c r="I131" s="549"/>
      <c r="J131" s="549"/>
      <c r="K131" s="549"/>
      <c r="L131" s="549"/>
      <c r="M131" s="549"/>
      <c r="N131" s="549"/>
      <c r="O131" s="549"/>
      <c r="P131" s="549"/>
      <c r="Q131" s="549"/>
      <c r="R131" s="549"/>
      <c r="S131" s="549"/>
      <c r="T131" s="549"/>
      <c r="U131" s="549"/>
      <c r="V131" s="549"/>
      <c r="W131" s="549"/>
      <c r="X131" s="549"/>
      <c r="Y131" s="549"/>
      <c r="Z131" s="549"/>
      <c r="AA131" s="549"/>
      <c r="AB131" s="549"/>
      <c r="AC131" s="549"/>
      <c r="AD131" s="549"/>
      <c r="AE131" s="549"/>
      <c r="AF131" s="549"/>
      <c r="AG131" s="549"/>
      <c r="AH131" s="549"/>
      <c r="AI131" s="549"/>
      <c r="AJ131" s="549"/>
      <c r="AK131" s="549"/>
      <c r="AL131" s="549"/>
      <c r="AM131" s="549"/>
      <c r="AN131" s="549"/>
      <c r="AO131" s="549"/>
      <c r="AP131" s="549"/>
      <c r="AQ131" s="549"/>
      <c r="AR131" s="549"/>
      <c r="AS131" s="549"/>
      <c r="AT131" s="549"/>
      <c r="AU131" s="549"/>
      <c r="AV131" s="549"/>
      <c r="AW131" s="549"/>
      <c r="AX131" s="549"/>
      <c r="AY131" s="549"/>
      <c r="AZ131" s="549"/>
      <c r="BA131" s="549"/>
      <c r="BB131" s="549"/>
      <c r="BC131" s="549"/>
      <c r="BD131" s="549"/>
      <c r="BE131" s="549"/>
      <c r="BF131" s="549"/>
      <c r="BG131" s="549"/>
      <c r="BH131" s="549"/>
      <c r="BI131" s="549"/>
      <c r="BJ131" s="549"/>
      <c r="BK131" s="549"/>
      <c r="BL131" s="549"/>
      <c r="BM131" s="549"/>
      <c r="BN131" s="549"/>
      <c r="BO131" s="549"/>
      <c r="BP131" s="549"/>
      <c r="BQ131" s="549"/>
      <c r="BR131" s="549"/>
      <c r="BS131" s="549"/>
      <c r="BT131" s="549"/>
      <c r="BU131" s="549"/>
      <c r="BV131" s="549"/>
      <c r="BW131" s="549"/>
      <c r="BX131" s="549"/>
      <c r="BY131" s="549"/>
      <c r="BZ131" s="549"/>
      <c r="CA131" s="549"/>
    </row>
    <row r="132" spans="1:79" ht="15.75" customHeight="1">
      <c r="A132" s="614"/>
      <c r="B132" s="549"/>
      <c r="C132" s="549"/>
      <c r="D132" s="549"/>
      <c r="E132" s="549"/>
      <c r="F132" s="549"/>
      <c r="G132" s="549"/>
      <c r="H132" s="549"/>
      <c r="I132" s="549"/>
      <c r="J132" s="549"/>
      <c r="K132" s="549"/>
      <c r="L132" s="549"/>
      <c r="M132" s="549"/>
      <c r="N132" s="549"/>
      <c r="O132" s="549"/>
      <c r="P132" s="549"/>
      <c r="Q132" s="549"/>
      <c r="R132" s="549"/>
      <c r="S132" s="549"/>
      <c r="T132" s="549"/>
      <c r="U132" s="549"/>
      <c r="V132" s="549"/>
      <c r="W132" s="549"/>
      <c r="X132" s="549"/>
      <c r="Y132" s="549"/>
      <c r="Z132" s="549"/>
      <c r="AA132" s="549"/>
      <c r="AB132" s="549"/>
      <c r="AC132" s="549"/>
      <c r="AD132" s="549"/>
      <c r="AE132" s="549"/>
      <c r="AF132" s="549"/>
      <c r="AG132" s="549"/>
      <c r="AH132" s="549"/>
      <c r="AI132" s="549"/>
      <c r="AJ132" s="549"/>
      <c r="AK132" s="549"/>
      <c r="AL132" s="549"/>
      <c r="AM132" s="549"/>
      <c r="AN132" s="549"/>
      <c r="AO132" s="549"/>
      <c r="AP132" s="549"/>
      <c r="AQ132" s="549"/>
      <c r="AR132" s="549"/>
      <c r="AS132" s="549"/>
      <c r="AT132" s="549"/>
      <c r="AU132" s="549"/>
      <c r="AV132" s="549"/>
      <c r="AW132" s="549"/>
      <c r="AX132" s="549"/>
      <c r="AY132" s="549"/>
      <c r="AZ132" s="549"/>
      <c r="BA132" s="549"/>
      <c r="BB132" s="549"/>
      <c r="BC132" s="549"/>
      <c r="BD132" s="549"/>
      <c r="BE132" s="549"/>
      <c r="BF132" s="549"/>
      <c r="BG132" s="549"/>
      <c r="BH132" s="549"/>
      <c r="BI132" s="549"/>
      <c r="BJ132" s="549"/>
      <c r="BK132" s="549"/>
      <c r="BL132" s="549"/>
      <c r="BM132" s="549"/>
      <c r="BN132" s="549"/>
      <c r="BO132" s="549"/>
      <c r="BP132" s="549"/>
      <c r="BQ132" s="549"/>
      <c r="BR132" s="549"/>
      <c r="BS132" s="549"/>
      <c r="BT132" s="549"/>
      <c r="BU132" s="549"/>
      <c r="BV132" s="549"/>
      <c r="BW132" s="549"/>
      <c r="BX132" s="549"/>
      <c r="BY132" s="549"/>
      <c r="BZ132" s="549"/>
      <c r="CA132" s="549"/>
    </row>
    <row r="133" spans="1:79" ht="15.75" customHeight="1">
      <c r="A133" s="614"/>
      <c r="B133" s="549"/>
      <c r="C133" s="549"/>
      <c r="D133" s="549"/>
      <c r="E133" s="549"/>
      <c r="F133" s="549"/>
      <c r="G133" s="549"/>
      <c r="H133" s="549"/>
      <c r="I133" s="549"/>
      <c r="J133" s="549"/>
      <c r="K133" s="549"/>
      <c r="L133" s="549"/>
      <c r="M133" s="549"/>
      <c r="N133" s="549"/>
      <c r="O133" s="549"/>
      <c r="P133" s="549"/>
      <c r="Q133" s="549"/>
      <c r="R133" s="549"/>
      <c r="S133" s="549"/>
      <c r="T133" s="549"/>
      <c r="U133" s="549"/>
      <c r="V133" s="549"/>
      <c r="W133" s="549"/>
      <c r="X133" s="549"/>
      <c r="Y133" s="549"/>
      <c r="Z133" s="549"/>
      <c r="AA133" s="549"/>
      <c r="AB133" s="549"/>
      <c r="AC133" s="549"/>
      <c r="AD133" s="549"/>
      <c r="AE133" s="549"/>
      <c r="AF133" s="549"/>
      <c r="AG133" s="549"/>
      <c r="AH133" s="549"/>
      <c r="AI133" s="549"/>
      <c r="AJ133" s="549"/>
      <c r="AK133" s="549"/>
      <c r="AL133" s="549"/>
      <c r="AM133" s="549"/>
      <c r="AN133" s="549"/>
      <c r="AO133" s="549"/>
      <c r="AP133" s="549"/>
      <c r="AQ133" s="549"/>
      <c r="AR133" s="549"/>
      <c r="AS133" s="549"/>
      <c r="AT133" s="549"/>
      <c r="AU133" s="549"/>
      <c r="AV133" s="549"/>
      <c r="AW133" s="549"/>
      <c r="AX133" s="549"/>
      <c r="AY133" s="549"/>
      <c r="AZ133" s="549"/>
      <c r="BA133" s="549"/>
      <c r="BB133" s="549"/>
      <c r="BC133" s="549"/>
      <c r="BD133" s="549"/>
      <c r="BE133" s="549"/>
      <c r="BF133" s="549"/>
      <c r="BG133" s="549"/>
      <c r="BH133" s="549"/>
      <c r="BI133" s="549"/>
      <c r="BJ133" s="549"/>
      <c r="BK133" s="549"/>
      <c r="BL133" s="549"/>
      <c r="BM133" s="549"/>
      <c r="BN133" s="549"/>
      <c r="BO133" s="549"/>
      <c r="BP133" s="549"/>
      <c r="BQ133" s="549"/>
      <c r="BR133" s="549"/>
      <c r="BS133" s="549"/>
      <c r="BT133" s="549"/>
      <c r="BU133" s="549"/>
      <c r="BV133" s="549"/>
      <c r="BW133" s="549"/>
      <c r="BX133" s="549"/>
      <c r="BY133" s="549"/>
      <c r="BZ133" s="549"/>
      <c r="CA133" s="549"/>
    </row>
    <row r="134" spans="1:79" ht="15.75" customHeight="1">
      <c r="A134" s="614"/>
      <c r="B134" s="549"/>
      <c r="C134" s="549"/>
      <c r="D134" s="549"/>
      <c r="E134" s="549"/>
      <c r="F134" s="549"/>
      <c r="G134" s="549"/>
      <c r="H134" s="549"/>
      <c r="I134" s="549"/>
      <c r="J134" s="549"/>
      <c r="K134" s="549"/>
      <c r="L134" s="549"/>
      <c r="M134" s="549"/>
      <c r="N134" s="549"/>
      <c r="O134" s="549"/>
      <c r="P134" s="549"/>
      <c r="Q134" s="549"/>
      <c r="R134" s="549"/>
      <c r="S134" s="549"/>
      <c r="T134" s="549"/>
      <c r="U134" s="549"/>
      <c r="V134" s="549"/>
      <c r="W134" s="549"/>
      <c r="X134" s="549"/>
      <c r="Y134" s="549"/>
      <c r="Z134" s="549"/>
      <c r="AA134" s="549"/>
      <c r="AB134" s="549"/>
      <c r="AC134" s="549"/>
      <c r="AD134" s="549"/>
      <c r="AE134" s="549"/>
      <c r="AF134" s="549"/>
      <c r="AG134" s="549"/>
      <c r="AH134" s="549"/>
      <c r="AI134" s="549"/>
      <c r="AJ134" s="549"/>
      <c r="AK134" s="549"/>
      <c r="AL134" s="549"/>
      <c r="AM134" s="549"/>
      <c r="AN134" s="549"/>
      <c r="AO134" s="549"/>
      <c r="AP134" s="549"/>
      <c r="AQ134" s="549"/>
      <c r="AR134" s="549"/>
      <c r="AS134" s="549"/>
      <c r="AT134" s="549"/>
      <c r="AU134" s="549"/>
      <c r="AV134" s="549"/>
      <c r="AW134" s="549"/>
      <c r="AX134" s="549"/>
      <c r="AY134" s="549"/>
      <c r="AZ134" s="549"/>
      <c r="BA134" s="549"/>
      <c r="BB134" s="549"/>
      <c r="BC134" s="549"/>
      <c r="BD134" s="549"/>
      <c r="BE134" s="549"/>
      <c r="BF134" s="549"/>
      <c r="BG134" s="549"/>
      <c r="BH134" s="549"/>
      <c r="BI134" s="549"/>
      <c r="BJ134" s="549"/>
      <c r="BK134" s="549"/>
      <c r="BL134" s="549"/>
      <c r="BM134" s="549"/>
      <c r="BN134" s="549"/>
      <c r="BO134" s="549"/>
      <c r="BP134" s="549"/>
      <c r="BQ134" s="549"/>
      <c r="BR134" s="549"/>
      <c r="BS134" s="549"/>
      <c r="BT134" s="549"/>
      <c r="BU134" s="549"/>
      <c r="BV134" s="549"/>
      <c r="BW134" s="549"/>
      <c r="BX134" s="549"/>
      <c r="BY134" s="549"/>
      <c r="BZ134" s="549"/>
      <c r="CA134" s="549"/>
    </row>
    <row r="135" spans="1:79" ht="15.75" customHeight="1">
      <c r="A135" s="614"/>
      <c r="B135" s="549"/>
      <c r="C135" s="549"/>
      <c r="D135" s="549"/>
      <c r="E135" s="549"/>
      <c r="F135" s="549"/>
      <c r="G135" s="549"/>
      <c r="H135" s="549"/>
      <c r="I135" s="549"/>
      <c r="J135" s="549"/>
      <c r="K135" s="549"/>
      <c r="L135" s="549"/>
      <c r="M135" s="549"/>
      <c r="N135" s="549"/>
      <c r="O135" s="549"/>
      <c r="P135" s="549"/>
      <c r="Q135" s="549"/>
      <c r="R135" s="549"/>
      <c r="S135" s="549"/>
      <c r="T135" s="549"/>
      <c r="U135" s="549"/>
      <c r="V135" s="549"/>
      <c r="W135" s="549"/>
      <c r="X135" s="549"/>
      <c r="Y135" s="549"/>
      <c r="Z135" s="549"/>
      <c r="AA135" s="549"/>
      <c r="AB135" s="549"/>
      <c r="AC135" s="549"/>
      <c r="AD135" s="549"/>
      <c r="AE135" s="549"/>
      <c r="AF135" s="549"/>
      <c r="AG135" s="549"/>
      <c r="AH135" s="549"/>
      <c r="AI135" s="549"/>
      <c r="AJ135" s="549"/>
      <c r="AK135" s="549"/>
      <c r="AL135" s="549"/>
      <c r="AM135" s="549"/>
      <c r="AN135" s="549"/>
      <c r="AO135" s="549"/>
      <c r="AP135" s="549"/>
      <c r="AQ135" s="549"/>
      <c r="AR135" s="549"/>
      <c r="AS135" s="549"/>
      <c r="AT135" s="549"/>
      <c r="AU135" s="549"/>
      <c r="AV135" s="549"/>
      <c r="AW135" s="549"/>
      <c r="AX135" s="549"/>
      <c r="AY135" s="549"/>
      <c r="AZ135" s="549"/>
      <c r="BA135" s="549"/>
      <c r="BB135" s="549"/>
      <c r="BC135" s="549"/>
      <c r="BD135" s="549"/>
      <c r="BE135" s="549"/>
      <c r="BF135" s="549"/>
      <c r="BG135" s="549"/>
      <c r="BH135" s="549"/>
      <c r="BI135" s="549"/>
      <c r="BJ135" s="549"/>
      <c r="BK135" s="549"/>
      <c r="BL135" s="549"/>
      <c r="BM135" s="549"/>
      <c r="BN135" s="549"/>
      <c r="BO135" s="549"/>
      <c r="BP135" s="549"/>
      <c r="BQ135" s="549"/>
      <c r="BR135" s="549"/>
      <c r="BS135" s="549"/>
      <c r="BT135" s="549"/>
      <c r="BU135" s="549"/>
      <c r="BV135" s="549"/>
      <c r="BW135" s="549"/>
      <c r="BX135" s="549"/>
      <c r="BY135" s="549"/>
      <c r="BZ135" s="549"/>
      <c r="CA135" s="549"/>
    </row>
    <row r="136" spans="1:79" ht="15.75" customHeight="1">
      <c r="A136" s="614"/>
      <c r="B136" s="549"/>
      <c r="C136" s="549"/>
      <c r="D136" s="549"/>
      <c r="E136" s="549"/>
      <c r="F136" s="549"/>
      <c r="G136" s="549"/>
      <c r="H136" s="549"/>
      <c r="I136" s="549"/>
      <c r="J136" s="549"/>
      <c r="K136" s="549"/>
      <c r="L136" s="549"/>
      <c r="M136" s="549"/>
      <c r="N136" s="549"/>
      <c r="O136" s="549"/>
      <c r="P136" s="549"/>
      <c r="Q136" s="549"/>
      <c r="R136" s="549"/>
      <c r="S136" s="549"/>
      <c r="T136" s="549"/>
      <c r="U136" s="549"/>
      <c r="V136" s="549"/>
      <c r="W136" s="549"/>
      <c r="X136" s="549"/>
      <c r="Y136" s="549"/>
      <c r="Z136" s="549"/>
      <c r="AA136" s="549"/>
      <c r="AB136" s="549"/>
      <c r="AC136" s="549"/>
      <c r="AD136" s="549"/>
      <c r="AE136" s="549"/>
      <c r="AF136" s="549"/>
      <c r="AG136" s="549"/>
      <c r="AH136" s="549"/>
      <c r="AI136" s="549"/>
      <c r="AJ136" s="549"/>
      <c r="AK136" s="549"/>
      <c r="AL136" s="549"/>
      <c r="AM136" s="549"/>
      <c r="AN136" s="549"/>
      <c r="AO136" s="549"/>
      <c r="AP136" s="549"/>
      <c r="AQ136" s="549"/>
      <c r="AR136" s="549"/>
      <c r="AS136" s="549"/>
      <c r="AT136" s="549"/>
      <c r="AU136" s="549"/>
      <c r="AV136" s="549"/>
      <c r="AW136" s="549"/>
      <c r="AX136" s="549"/>
      <c r="AY136" s="549"/>
      <c r="AZ136" s="549"/>
      <c r="BA136" s="549"/>
      <c r="BB136" s="549"/>
      <c r="BC136" s="549"/>
      <c r="BD136" s="549"/>
      <c r="BE136" s="549"/>
      <c r="BF136" s="549"/>
      <c r="BG136" s="549"/>
      <c r="BH136" s="549"/>
      <c r="BI136" s="549"/>
      <c r="BJ136" s="549"/>
      <c r="BK136" s="549"/>
      <c r="BL136" s="549"/>
      <c r="BM136" s="549"/>
      <c r="BN136" s="549"/>
      <c r="BO136" s="549"/>
      <c r="BP136" s="549"/>
      <c r="BQ136" s="549"/>
      <c r="BR136" s="549"/>
      <c r="BS136" s="549"/>
      <c r="BT136" s="549"/>
      <c r="BU136" s="549"/>
      <c r="BV136" s="549"/>
      <c r="BW136" s="549"/>
      <c r="BX136" s="549"/>
      <c r="BY136" s="549"/>
      <c r="BZ136" s="549"/>
      <c r="CA136" s="549"/>
    </row>
    <row r="137" spans="1:79" ht="15.75" customHeight="1">
      <c r="A137" s="614"/>
      <c r="B137" s="549"/>
      <c r="C137" s="549"/>
      <c r="D137" s="549"/>
      <c r="E137" s="549"/>
      <c r="F137" s="549"/>
      <c r="G137" s="549"/>
      <c r="H137" s="549"/>
      <c r="I137" s="549"/>
      <c r="J137" s="549"/>
      <c r="K137" s="549"/>
      <c r="L137" s="549"/>
      <c r="M137" s="549"/>
      <c r="N137" s="549"/>
      <c r="O137" s="549"/>
      <c r="P137" s="549"/>
      <c r="Q137" s="549"/>
      <c r="R137" s="549"/>
      <c r="S137" s="549"/>
      <c r="T137" s="549"/>
      <c r="U137" s="549"/>
      <c r="V137" s="549"/>
      <c r="W137" s="549"/>
      <c r="X137" s="549"/>
      <c r="Y137" s="549"/>
      <c r="Z137" s="549"/>
      <c r="AA137" s="549"/>
      <c r="AB137" s="549"/>
      <c r="AC137" s="549"/>
      <c r="AD137" s="549"/>
      <c r="AE137" s="549"/>
      <c r="AF137" s="549"/>
      <c r="AG137" s="549"/>
      <c r="AH137" s="549"/>
      <c r="AI137" s="549"/>
      <c r="AJ137" s="549"/>
      <c r="AK137" s="549"/>
      <c r="AL137" s="549"/>
      <c r="AM137" s="549"/>
      <c r="AN137" s="549"/>
      <c r="AO137" s="549"/>
      <c r="AP137" s="549"/>
      <c r="AQ137" s="549"/>
      <c r="AR137" s="549"/>
      <c r="AS137" s="549"/>
      <c r="AT137" s="549"/>
      <c r="AU137" s="549"/>
      <c r="AV137" s="549"/>
      <c r="AW137" s="549"/>
      <c r="AX137" s="549"/>
      <c r="AY137" s="549"/>
      <c r="AZ137" s="549"/>
      <c r="BA137" s="549"/>
      <c r="BB137" s="549"/>
      <c r="BC137" s="549"/>
      <c r="BD137" s="549"/>
      <c r="BE137" s="549"/>
      <c r="BF137" s="549"/>
      <c r="BG137" s="549"/>
      <c r="BH137" s="549"/>
      <c r="BI137" s="549"/>
      <c r="BJ137" s="549"/>
      <c r="BK137" s="549"/>
      <c r="BL137" s="549"/>
      <c r="BM137" s="549"/>
      <c r="BN137" s="549"/>
      <c r="BO137" s="549"/>
      <c r="BP137" s="549"/>
      <c r="BQ137" s="549"/>
      <c r="BR137" s="549"/>
      <c r="BS137" s="549"/>
      <c r="BT137" s="549"/>
      <c r="BU137" s="549"/>
      <c r="BV137" s="549"/>
      <c r="BW137" s="549"/>
      <c r="BX137" s="549"/>
      <c r="BY137" s="549"/>
      <c r="BZ137" s="549"/>
      <c r="CA137" s="549"/>
    </row>
    <row r="138" spans="1:79" ht="15.75" customHeight="1">
      <c r="A138" s="614"/>
      <c r="B138" s="549"/>
      <c r="C138" s="549"/>
      <c r="D138" s="549"/>
      <c r="E138" s="549"/>
      <c r="F138" s="549"/>
      <c r="G138" s="549"/>
      <c r="H138" s="549"/>
      <c r="I138" s="549"/>
      <c r="J138" s="549"/>
      <c r="K138" s="549"/>
      <c r="L138" s="549"/>
      <c r="M138" s="549"/>
      <c r="N138" s="549"/>
      <c r="O138" s="549"/>
      <c r="P138" s="549"/>
      <c r="Q138" s="549"/>
      <c r="R138" s="549"/>
      <c r="S138" s="549"/>
      <c r="T138" s="549"/>
      <c r="U138" s="549"/>
      <c r="V138" s="549"/>
      <c r="W138" s="549"/>
      <c r="X138" s="549"/>
      <c r="Y138" s="549"/>
      <c r="Z138" s="549"/>
      <c r="AA138" s="549"/>
      <c r="AB138" s="549"/>
      <c r="AC138" s="549"/>
      <c r="AD138" s="549"/>
      <c r="AE138" s="549"/>
      <c r="AF138" s="549"/>
      <c r="AG138" s="549"/>
      <c r="AH138" s="549"/>
      <c r="AI138" s="549"/>
      <c r="AJ138" s="549"/>
      <c r="AK138" s="549"/>
      <c r="AL138" s="549"/>
      <c r="AM138" s="549"/>
      <c r="AN138" s="549"/>
      <c r="AO138" s="549"/>
      <c r="AP138" s="549"/>
      <c r="AQ138" s="549"/>
      <c r="AR138" s="549"/>
      <c r="AS138" s="549"/>
      <c r="AT138" s="549"/>
      <c r="AU138" s="549"/>
      <c r="AV138" s="549"/>
      <c r="AW138" s="549"/>
      <c r="AX138" s="549"/>
      <c r="AY138" s="549"/>
      <c r="AZ138" s="549"/>
      <c r="BA138" s="549"/>
      <c r="BB138" s="549"/>
      <c r="BC138" s="549"/>
      <c r="BD138" s="549"/>
      <c r="BE138" s="549"/>
      <c r="BF138" s="549"/>
      <c r="BG138" s="549"/>
      <c r="BH138" s="549"/>
      <c r="BI138" s="549"/>
      <c r="BJ138" s="549"/>
      <c r="BK138" s="549"/>
      <c r="BL138" s="549"/>
      <c r="BM138" s="549"/>
      <c r="BN138" s="549"/>
      <c r="BO138" s="549"/>
      <c r="BP138" s="549"/>
      <c r="BQ138" s="549"/>
      <c r="BR138" s="549"/>
      <c r="BS138" s="549"/>
      <c r="BT138" s="549"/>
      <c r="BU138" s="549"/>
      <c r="BV138" s="549"/>
      <c r="BW138" s="549"/>
      <c r="BX138" s="549"/>
      <c r="BY138" s="549"/>
      <c r="BZ138" s="549"/>
      <c r="CA138" s="549"/>
    </row>
    <row r="139" spans="1:79" ht="15.75" customHeight="1">
      <c r="A139" s="614"/>
      <c r="B139" s="549"/>
      <c r="C139" s="549"/>
      <c r="D139" s="549"/>
      <c r="E139" s="549"/>
      <c r="F139" s="549"/>
      <c r="G139" s="549"/>
      <c r="H139" s="549"/>
      <c r="I139" s="549"/>
      <c r="J139" s="549"/>
      <c r="K139" s="549"/>
      <c r="L139" s="549"/>
      <c r="M139" s="549"/>
      <c r="N139" s="549"/>
      <c r="O139" s="549"/>
      <c r="P139" s="549"/>
      <c r="Q139" s="549"/>
      <c r="R139" s="549"/>
      <c r="S139" s="549"/>
      <c r="T139" s="549"/>
      <c r="U139" s="549"/>
      <c r="V139" s="549"/>
      <c r="W139" s="549"/>
      <c r="X139" s="549"/>
      <c r="Y139" s="549"/>
      <c r="Z139" s="549"/>
      <c r="AA139" s="549"/>
      <c r="AB139" s="549"/>
      <c r="AC139" s="549"/>
      <c r="AD139" s="549"/>
      <c r="AE139" s="549"/>
      <c r="AF139" s="549"/>
      <c r="AG139" s="549"/>
      <c r="AH139" s="549"/>
      <c r="AI139" s="549"/>
      <c r="AJ139" s="549"/>
      <c r="AK139" s="549"/>
      <c r="AL139" s="549"/>
      <c r="AM139" s="549"/>
      <c r="AN139" s="549"/>
      <c r="AO139" s="549"/>
      <c r="AP139" s="549"/>
      <c r="AQ139" s="549"/>
      <c r="AR139" s="549"/>
      <c r="AS139" s="549"/>
      <c r="AT139" s="549"/>
      <c r="AU139" s="549"/>
      <c r="AV139" s="549"/>
      <c r="AW139" s="549"/>
      <c r="AX139" s="549"/>
      <c r="AY139" s="549"/>
      <c r="AZ139" s="549"/>
      <c r="BA139" s="549"/>
      <c r="BB139" s="549"/>
      <c r="BC139" s="549"/>
      <c r="BD139" s="549"/>
      <c r="BE139" s="549"/>
      <c r="BF139" s="549"/>
      <c r="BG139" s="549"/>
      <c r="BH139" s="549"/>
      <c r="BI139" s="549"/>
      <c r="BJ139" s="549"/>
      <c r="BK139" s="549"/>
      <c r="BL139" s="549"/>
      <c r="BM139" s="549"/>
      <c r="BN139" s="549"/>
      <c r="BO139" s="549"/>
      <c r="BP139" s="549"/>
      <c r="BQ139" s="549"/>
      <c r="BR139" s="549"/>
      <c r="BS139" s="549"/>
      <c r="BT139" s="549"/>
      <c r="BU139" s="549"/>
      <c r="BV139" s="549"/>
      <c r="BW139" s="549"/>
      <c r="BX139" s="549"/>
      <c r="BY139" s="549"/>
      <c r="BZ139" s="549"/>
      <c r="CA139" s="549"/>
    </row>
    <row r="140" spans="1:79" ht="15.75" customHeight="1">
      <c r="A140" s="614"/>
      <c r="B140" s="549"/>
      <c r="C140" s="549"/>
      <c r="D140" s="549"/>
      <c r="E140" s="549"/>
      <c r="F140" s="549"/>
      <c r="G140" s="549"/>
      <c r="H140" s="549"/>
      <c r="I140" s="549"/>
      <c r="J140" s="549"/>
      <c r="K140" s="549"/>
      <c r="L140" s="549"/>
      <c r="M140" s="549"/>
      <c r="N140" s="549"/>
      <c r="O140" s="549"/>
      <c r="P140" s="549"/>
      <c r="Q140" s="549"/>
      <c r="R140" s="549"/>
      <c r="S140" s="549"/>
      <c r="T140" s="549"/>
      <c r="U140" s="549"/>
      <c r="V140" s="549"/>
      <c r="W140" s="549"/>
      <c r="X140" s="549"/>
      <c r="Y140" s="549"/>
      <c r="Z140" s="549"/>
      <c r="AA140" s="549"/>
      <c r="AB140" s="549"/>
      <c r="AC140" s="549"/>
      <c r="AD140" s="549"/>
      <c r="AE140" s="549"/>
      <c r="AF140" s="549"/>
      <c r="AG140" s="549"/>
      <c r="AH140" s="549"/>
      <c r="AI140" s="549"/>
      <c r="AJ140" s="549"/>
      <c r="AK140" s="549"/>
      <c r="AL140" s="549"/>
      <c r="AM140" s="549"/>
      <c r="AN140" s="549"/>
      <c r="AO140" s="549"/>
      <c r="AP140" s="549"/>
      <c r="AQ140" s="549"/>
      <c r="AR140" s="549"/>
      <c r="AS140" s="549"/>
      <c r="AT140" s="549"/>
      <c r="AU140" s="549"/>
      <c r="AV140" s="549"/>
      <c r="AW140" s="549"/>
      <c r="AX140" s="549"/>
      <c r="AY140" s="549"/>
      <c r="AZ140" s="549"/>
      <c r="BA140" s="549"/>
      <c r="BB140" s="549"/>
      <c r="BC140" s="549"/>
      <c r="BD140" s="549"/>
      <c r="BE140" s="549"/>
      <c r="BF140" s="549"/>
      <c r="BG140" s="549"/>
      <c r="BH140" s="549"/>
      <c r="BI140" s="549"/>
      <c r="BJ140" s="549"/>
      <c r="BK140" s="549"/>
      <c r="BL140" s="549"/>
      <c r="BM140" s="549"/>
      <c r="BN140" s="549"/>
      <c r="BO140" s="549"/>
      <c r="BP140" s="549"/>
      <c r="BQ140" s="549"/>
      <c r="BR140" s="549"/>
      <c r="BS140" s="549"/>
      <c r="BT140" s="549"/>
      <c r="BU140" s="549"/>
      <c r="BV140" s="549"/>
      <c r="BW140" s="549"/>
      <c r="BX140" s="549"/>
      <c r="BY140" s="549"/>
      <c r="BZ140" s="549"/>
      <c r="CA140" s="549"/>
    </row>
    <row r="141" spans="1:79" ht="15.75" customHeight="1">
      <c r="A141" s="614"/>
      <c r="B141" s="549"/>
      <c r="C141" s="549"/>
      <c r="D141" s="549"/>
      <c r="E141" s="549"/>
      <c r="F141" s="549"/>
      <c r="G141" s="549"/>
      <c r="H141" s="549"/>
      <c r="I141" s="549"/>
      <c r="J141" s="549"/>
      <c r="K141" s="549"/>
      <c r="L141" s="549"/>
      <c r="M141" s="549"/>
      <c r="N141" s="549"/>
      <c r="O141" s="549"/>
      <c r="P141" s="549"/>
      <c r="Q141" s="549"/>
      <c r="R141" s="549"/>
      <c r="S141" s="549"/>
      <c r="T141" s="549"/>
      <c r="U141" s="549"/>
      <c r="V141" s="549"/>
      <c r="W141" s="549"/>
      <c r="X141" s="549"/>
      <c r="Y141" s="549"/>
      <c r="Z141" s="549"/>
      <c r="AA141" s="549"/>
      <c r="AB141" s="549"/>
      <c r="AC141" s="549"/>
      <c r="AD141" s="549"/>
      <c r="AE141" s="549"/>
      <c r="AF141" s="549"/>
      <c r="AG141" s="549"/>
      <c r="AH141" s="549"/>
      <c r="AI141" s="549"/>
      <c r="AJ141" s="549"/>
      <c r="AK141" s="549"/>
      <c r="AL141" s="549"/>
      <c r="AM141" s="549"/>
      <c r="AN141" s="549"/>
      <c r="AO141" s="549"/>
      <c r="AP141" s="549"/>
      <c r="AQ141" s="549"/>
      <c r="AR141" s="549"/>
      <c r="AS141" s="549"/>
      <c r="AT141" s="549"/>
      <c r="AU141" s="549"/>
      <c r="AV141" s="549"/>
      <c r="AW141" s="549"/>
      <c r="AX141" s="549"/>
      <c r="AY141" s="549"/>
      <c r="AZ141" s="549"/>
      <c r="BA141" s="549"/>
      <c r="BB141" s="549"/>
      <c r="BC141" s="549"/>
      <c r="BD141" s="549"/>
      <c r="BE141" s="549"/>
      <c r="BF141" s="549"/>
      <c r="BG141" s="549"/>
      <c r="BH141" s="549"/>
      <c r="BI141" s="549"/>
      <c r="BJ141" s="549"/>
      <c r="BK141" s="549"/>
      <c r="BL141" s="549"/>
      <c r="BM141" s="549"/>
      <c r="BN141" s="549"/>
      <c r="BO141" s="549"/>
      <c r="BP141" s="549"/>
      <c r="BQ141" s="549"/>
      <c r="BR141" s="549"/>
      <c r="BS141" s="549"/>
      <c r="BT141" s="549"/>
      <c r="BU141" s="549"/>
      <c r="BV141" s="549"/>
      <c r="BW141" s="549"/>
      <c r="BX141" s="549"/>
      <c r="BY141" s="549"/>
      <c r="BZ141" s="549"/>
      <c r="CA141" s="549"/>
    </row>
    <row r="142" spans="1:79" ht="15.75" customHeight="1">
      <c r="A142" s="614"/>
      <c r="B142" s="549"/>
      <c r="C142" s="549"/>
      <c r="D142" s="549"/>
      <c r="E142" s="549"/>
      <c r="F142" s="549"/>
      <c r="G142" s="549"/>
      <c r="H142" s="549"/>
      <c r="I142" s="549"/>
      <c r="J142" s="549"/>
      <c r="K142" s="549"/>
      <c r="L142" s="549"/>
      <c r="M142" s="549"/>
      <c r="N142" s="549"/>
      <c r="O142" s="549"/>
      <c r="P142" s="549"/>
      <c r="Q142" s="549"/>
      <c r="R142" s="549"/>
      <c r="S142" s="549"/>
      <c r="T142" s="549"/>
      <c r="U142" s="549"/>
      <c r="V142" s="549"/>
      <c r="W142" s="549"/>
      <c r="X142" s="549"/>
      <c r="Y142" s="549"/>
      <c r="Z142" s="549"/>
      <c r="AA142" s="549"/>
      <c r="AB142" s="549"/>
      <c r="AC142" s="549"/>
      <c r="AD142" s="549"/>
      <c r="AE142" s="549"/>
      <c r="AF142" s="549"/>
      <c r="AG142" s="549"/>
      <c r="AH142" s="549"/>
      <c r="AI142" s="549"/>
      <c r="AJ142" s="549"/>
      <c r="AK142" s="549"/>
      <c r="AL142" s="549"/>
      <c r="AM142" s="549"/>
      <c r="AN142" s="549"/>
      <c r="AO142" s="549"/>
      <c r="AP142" s="549"/>
      <c r="AQ142" s="549"/>
      <c r="AR142" s="549"/>
      <c r="AS142" s="549"/>
      <c r="AT142" s="549"/>
      <c r="AU142" s="549"/>
      <c r="AV142" s="549"/>
      <c r="AW142" s="549"/>
      <c r="AX142" s="549"/>
      <c r="AY142" s="549"/>
      <c r="AZ142" s="549"/>
      <c r="BA142" s="549"/>
      <c r="BB142" s="549"/>
      <c r="BC142" s="549"/>
      <c r="BD142" s="549"/>
      <c r="BE142" s="549"/>
      <c r="BF142" s="549"/>
      <c r="BG142" s="549"/>
      <c r="BH142" s="549"/>
      <c r="BI142" s="549"/>
      <c r="BJ142" s="549"/>
      <c r="BK142" s="549"/>
      <c r="BL142" s="549"/>
      <c r="BM142" s="549"/>
      <c r="BN142" s="549"/>
      <c r="BO142" s="549"/>
      <c r="BP142" s="549"/>
      <c r="BQ142" s="549"/>
      <c r="BR142" s="549"/>
      <c r="BS142" s="549"/>
      <c r="BT142" s="549"/>
      <c r="BU142" s="549"/>
      <c r="BV142" s="549"/>
      <c r="BW142" s="549"/>
      <c r="BX142" s="549"/>
      <c r="BY142" s="549"/>
      <c r="BZ142" s="549"/>
      <c r="CA142" s="549"/>
    </row>
    <row r="143" spans="1:79" ht="15.75" customHeight="1">
      <c r="A143" s="614"/>
      <c r="B143" s="549"/>
      <c r="C143" s="549"/>
      <c r="D143" s="549"/>
      <c r="E143" s="549"/>
      <c r="F143" s="549"/>
      <c r="G143" s="549"/>
      <c r="H143" s="549"/>
      <c r="I143" s="549"/>
      <c r="J143" s="549"/>
      <c r="K143" s="549"/>
      <c r="L143" s="549"/>
      <c r="M143" s="549"/>
      <c r="N143" s="549"/>
      <c r="O143" s="549"/>
      <c r="P143" s="549"/>
      <c r="Q143" s="549"/>
      <c r="R143" s="549"/>
      <c r="S143" s="549"/>
      <c r="T143" s="549"/>
      <c r="U143" s="549"/>
      <c r="V143" s="549"/>
      <c r="W143" s="549"/>
      <c r="X143" s="549"/>
      <c r="Y143" s="549"/>
      <c r="Z143" s="549"/>
      <c r="AA143" s="549"/>
      <c r="AB143" s="549"/>
      <c r="AC143" s="549"/>
      <c r="AD143" s="549"/>
      <c r="AE143" s="549"/>
      <c r="AF143" s="549"/>
      <c r="AG143" s="549"/>
      <c r="AH143" s="549"/>
      <c r="AI143" s="549"/>
      <c r="AJ143" s="549"/>
      <c r="AK143" s="549"/>
      <c r="AL143" s="549"/>
      <c r="AM143" s="549"/>
      <c r="AN143" s="549"/>
      <c r="AO143" s="549"/>
      <c r="AP143" s="549"/>
      <c r="AQ143" s="549"/>
      <c r="AR143" s="549"/>
      <c r="AS143" s="549"/>
      <c r="AT143" s="549"/>
      <c r="AU143" s="549"/>
      <c r="AV143" s="549"/>
      <c r="AW143" s="549"/>
      <c r="AX143" s="549"/>
      <c r="AY143" s="549"/>
      <c r="AZ143" s="549"/>
      <c r="BA143" s="549"/>
      <c r="BB143" s="549"/>
      <c r="BC143" s="549"/>
      <c r="BD143" s="549"/>
      <c r="BE143" s="549"/>
      <c r="BF143" s="549"/>
      <c r="BG143" s="549"/>
      <c r="BH143" s="549"/>
      <c r="BI143" s="549"/>
      <c r="BJ143" s="549"/>
      <c r="BK143" s="549"/>
      <c r="BL143" s="549"/>
      <c r="BM143" s="549"/>
      <c r="BN143" s="549"/>
      <c r="BO143" s="549"/>
      <c r="BP143" s="549"/>
      <c r="BQ143" s="549"/>
      <c r="BR143" s="549"/>
      <c r="BS143" s="549"/>
      <c r="BT143" s="549"/>
      <c r="BU143" s="549"/>
      <c r="BV143" s="549"/>
      <c r="BW143" s="549"/>
      <c r="BX143" s="549"/>
      <c r="BY143" s="549"/>
      <c r="BZ143" s="549"/>
      <c r="CA143" s="549"/>
    </row>
    <row r="144" spans="1:79" ht="15.75" customHeight="1">
      <c r="A144" s="614"/>
      <c r="B144" s="549"/>
      <c r="C144" s="549"/>
      <c r="D144" s="549"/>
      <c r="E144" s="549"/>
      <c r="F144" s="549"/>
      <c r="G144" s="549"/>
      <c r="H144" s="549"/>
      <c r="I144" s="549"/>
      <c r="J144" s="549"/>
      <c r="K144" s="549"/>
      <c r="L144" s="549"/>
      <c r="M144" s="549"/>
      <c r="N144" s="549"/>
      <c r="O144" s="549"/>
      <c r="P144" s="549"/>
      <c r="Q144" s="549"/>
      <c r="R144" s="549"/>
      <c r="S144" s="549"/>
      <c r="T144" s="549"/>
      <c r="U144" s="549"/>
      <c r="V144" s="549"/>
      <c r="W144" s="549"/>
      <c r="X144" s="549"/>
      <c r="Y144" s="549"/>
      <c r="Z144" s="549"/>
      <c r="AA144" s="549"/>
      <c r="AB144" s="549"/>
      <c r="AC144" s="549"/>
      <c r="AD144" s="549"/>
      <c r="AE144" s="549"/>
      <c r="AF144" s="549"/>
      <c r="AG144" s="549"/>
      <c r="AH144" s="549"/>
      <c r="AI144" s="549"/>
      <c r="AJ144" s="549"/>
      <c r="AK144" s="549"/>
      <c r="AL144" s="549"/>
      <c r="AM144" s="549"/>
      <c r="AN144" s="549"/>
      <c r="AO144" s="549"/>
      <c r="AP144" s="549"/>
      <c r="AQ144" s="549"/>
      <c r="AR144" s="549"/>
      <c r="AS144" s="549"/>
      <c r="AT144" s="549"/>
      <c r="AU144" s="549"/>
      <c r="AV144" s="549"/>
      <c r="AW144" s="549"/>
      <c r="AX144" s="549"/>
      <c r="AY144" s="549"/>
      <c r="AZ144" s="549"/>
      <c r="BA144" s="549"/>
      <c r="BB144" s="549"/>
      <c r="BC144" s="549"/>
      <c r="BD144" s="549"/>
      <c r="BE144" s="549"/>
      <c r="BF144" s="549"/>
      <c r="BG144" s="549"/>
      <c r="BH144" s="549"/>
      <c r="BI144" s="549"/>
      <c r="BJ144" s="549"/>
      <c r="BK144" s="549"/>
      <c r="BL144" s="549"/>
      <c r="BM144" s="549"/>
      <c r="BN144" s="549"/>
      <c r="BO144" s="549"/>
      <c r="BP144" s="549"/>
      <c r="BQ144" s="549"/>
      <c r="BR144" s="549"/>
      <c r="BS144" s="549"/>
      <c r="BT144" s="549"/>
      <c r="BU144" s="549"/>
      <c r="BV144" s="549"/>
      <c r="BW144" s="549"/>
      <c r="BX144" s="549"/>
      <c r="BY144" s="549"/>
      <c r="BZ144" s="549"/>
      <c r="CA144" s="549"/>
    </row>
    <row r="145" spans="1:79" ht="15.75" customHeight="1">
      <c r="A145" s="614"/>
      <c r="B145" s="549"/>
      <c r="C145" s="549"/>
      <c r="D145" s="549"/>
      <c r="E145" s="549"/>
      <c r="F145" s="549"/>
      <c r="G145" s="549"/>
      <c r="H145" s="549"/>
      <c r="I145" s="549"/>
      <c r="J145" s="549"/>
      <c r="K145" s="549"/>
      <c r="L145" s="549"/>
      <c r="M145" s="549"/>
      <c r="N145" s="549"/>
      <c r="O145" s="549"/>
      <c r="P145" s="549"/>
      <c r="Q145" s="549"/>
      <c r="R145" s="549"/>
      <c r="S145" s="549"/>
      <c r="T145" s="549"/>
      <c r="U145" s="549"/>
      <c r="V145" s="549"/>
      <c r="W145" s="549"/>
      <c r="X145" s="549"/>
      <c r="Y145" s="549"/>
      <c r="Z145" s="549"/>
      <c r="AA145" s="549"/>
      <c r="AB145" s="549"/>
      <c r="AC145" s="549"/>
      <c r="AD145" s="549"/>
      <c r="AE145" s="549"/>
      <c r="AF145" s="549"/>
      <c r="AG145" s="549"/>
      <c r="AH145" s="549"/>
      <c r="AI145" s="549"/>
      <c r="AJ145" s="549"/>
      <c r="AK145" s="549"/>
      <c r="AL145" s="549"/>
      <c r="AM145" s="549"/>
      <c r="AN145" s="549"/>
      <c r="AO145" s="549"/>
      <c r="AP145" s="549"/>
      <c r="AQ145" s="549"/>
      <c r="AR145" s="549"/>
      <c r="AS145" s="549"/>
      <c r="AT145" s="549"/>
      <c r="AU145" s="549"/>
      <c r="AV145" s="549"/>
      <c r="AW145" s="549"/>
      <c r="AX145" s="549"/>
      <c r="AY145" s="549"/>
      <c r="AZ145" s="549"/>
      <c r="BA145" s="549"/>
      <c r="BB145" s="549"/>
      <c r="BC145" s="549"/>
      <c r="BD145" s="549"/>
      <c r="BE145" s="549"/>
      <c r="BF145" s="549"/>
      <c r="BG145" s="549"/>
      <c r="BH145" s="549"/>
      <c r="BI145" s="549"/>
      <c r="BJ145" s="549"/>
      <c r="BK145" s="549"/>
      <c r="BL145" s="549"/>
      <c r="BM145" s="549"/>
      <c r="BN145" s="549"/>
      <c r="BO145" s="549"/>
      <c r="BP145" s="549"/>
      <c r="BQ145" s="549"/>
      <c r="BR145" s="549"/>
      <c r="BS145" s="549"/>
      <c r="BT145" s="549"/>
      <c r="BU145" s="549"/>
      <c r="BV145" s="549"/>
      <c r="BW145" s="549"/>
      <c r="BX145" s="549"/>
      <c r="BY145" s="549"/>
      <c r="BZ145" s="549"/>
      <c r="CA145" s="549"/>
    </row>
    <row r="146" spans="1:79" ht="15.75" customHeight="1">
      <c r="A146" s="614"/>
      <c r="B146" s="549"/>
      <c r="C146" s="549"/>
      <c r="D146" s="549"/>
      <c r="E146" s="549"/>
      <c r="F146" s="549"/>
      <c r="G146" s="549"/>
      <c r="H146" s="549"/>
      <c r="I146" s="549"/>
      <c r="J146" s="549"/>
      <c r="K146" s="549"/>
      <c r="L146" s="549"/>
      <c r="M146" s="549"/>
      <c r="N146" s="549"/>
      <c r="O146" s="549"/>
      <c r="P146" s="549"/>
      <c r="Q146" s="549"/>
      <c r="R146" s="549"/>
      <c r="S146" s="549"/>
      <c r="T146" s="549"/>
      <c r="U146" s="549"/>
      <c r="V146" s="549"/>
      <c r="W146" s="549"/>
      <c r="X146" s="549"/>
      <c r="Y146" s="549"/>
      <c r="Z146" s="549"/>
      <c r="AA146" s="549"/>
      <c r="AB146" s="549"/>
      <c r="AC146" s="549"/>
      <c r="AD146" s="549"/>
      <c r="AE146" s="549"/>
      <c r="AF146" s="549"/>
      <c r="AG146" s="549"/>
      <c r="AH146" s="549"/>
      <c r="AI146" s="549"/>
      <c r="AJ146" s="549"/>
      <c r="AK146" s="549"/>
      <c r="AL146" s="549"/>
      <c r="AM146" s="549"/>
      <c r="AN146" s="549"/>
      <c r="AO146" s="549"/>
      <c r="AP146" s="549"/>
      <c r="AQ146" s="549"/>
      <c r="AR146" s="549"/>
      <c r="AS146" s="549"/>
      <c r="AT146" s="549"/>
      <c r="AU146" s="549"/>
      <c r="AV146" s="549"/>
      <c r="AW146" s="549"/>
      <c r="AX146" s="549"/>
      <c r="AY146" s="549"/>
      <c r="AZ146" s="549"/>
      <c r="BA146" s="549"/>
      <c r="BB146" s="549"/>
      <c r="BC146" s="549"/>
      <c r="BD146" s="549"/>
      <c r="BE146" s="549"/>
      <c r="BF146" s="549"/>
      <c r="BG146" s="549"/>
      <c r="BH146" s="549"/>
      <c r="BI146" s="549"/>
      <c r="BJ146" s="549"/>
      <c r="BK146" s="549"/>
      <c r="BL146" s="549"/>
      <c r="BM146" s="549"/>
      <c r="BN146" s="549"/>
      <c r="BO146" s="549"/>
      <c r="BP146" s="549"/>
      <c r="BQ146" s="549"/>
      <c r="BR146" s="549"/>
      <c r="BS146" s="549"/>
      <c r="BT146" s="549"/>
      <c r="BU146" s="549"/>
      <c r="BV146" s="549"/>
      <c r="BW146" s="549"/>
      <c r="BX146" s="549"/>
      <c r="BY146" s="549"/>
      <c r="BZ146" s="549"/>
      <c r="CA146" s="549"/>
    </row>
    <row r="147" spans="1:79" ht="15.75" customHeight="1">
      <c r="A147" s="614"/>
      <c r="B147" s="549"/>
      <c r="C147" s="549"/>
      <c r="D147" s="549"/>
      <c r="E147" s="549"/>
      <c r="F147" s="549"/>
      <c r="G147" s="549"/>
      <c r="H147" s="549"/>
      <c r="I147" s="549"/>
      <c r="J147" s="549"/>
      <c r="K147" s="549"/>
      <c r="L147" s="549"/>
      <c r="M147" s="549"/>
      <c r="N147" s="549"/>
      <c r="O147" s="549"/>
      <c r="P147" s="549"/>
      <c r="Q147" s="549"/>
      <c r="R147" s="549"/>
      <c r="S147" s="549"/>
      <c r="T147" s="549"/>
      <c r="U147" s="549"/>
      <c r="V147" s="549"/>
      <c r="W147" s="549"/>
      <c r="X147" s="549"/>
      <c r="Y147" s="549"/>
      <c r="Z147" s="549"/>
      <c r="AA147" s="549"/>
      <c r="AB147" s="549"/>
      <c r="AC147" s="549"/>
      <c r="AD147" s="549"/>
      <c r="AE147" s="549"/>
      <c r="AF147" s="549"/>
      <c r="AG147" s="549"/>
      <c r="AH147" s="549"/>
      <c r="AI147" s="549"/>
      <c r="AJ147" s="549"/>
      <c r="AK147" s="549"/>
      <c r="AL147" s="549"/>
      <c r="AM147" s="549"/>
      <c r="AN147" s="549"/>
      <c r="AO147" s="549"/>
      <c r="AP147" s="549"/>
      <c r="AQ147" s="549"/>
      <c r="AR147" s="549"/>
      <c r="AS147" s="549"/>
      <c r="AT147" s="549"/>
      <c r="AU147" s="549"/>
      <c r="AV147" s="549"/>
      <c r="AW147" s="549"/>
      <c r="AX147" s="549"/>
      <c r="AY147" s="549"/>
      <c r="AZ147" s="549"/>
      <c r="BA147" s="549"/>
      <c r="BB147" s="549"/>
      <c r="BC147" s="549"/>
      <c r="BD147" s="549"/>
      <c r="BE147" s="549"/>
      <c r="BF147" s="549"/>
      <c r="BG147" s="549"/>
      <c r="BH147" s="549"/>
      <c r="BI147" s="549"/>
      <c r="BJ147" s="549"/>
      <c r="BK147" s="549"/>
      <c r="BL147" s="549"/>
      <c r="BM147" s="549"/>
      <c r="BN147" s="549"/>
      <c r="BO147" s="549"/>
      <c r="BP147" s="549"/>
      <c r="BQ147" s="549"/>
      <c r="BR147" s="549"/>
      <c r="BS147" s="549"/>
      <c r="BT147" s="549"/>
      <c r="BU147" s="549"/>
      <c r="BV147" s="549"/>
      <c r="BW147" s="549"/>
      <c r="BX147" s="549"/>
      <c r="BY147" s="549"/>
      <c r="BZ147" s="549"/>
      <c r="CA147" s="549"/>
    </row>
    <row r="148" spans="1:79" ht="15.75" customHeight="1">
      <c r="A148" s="614"/>
      <c r="B148" s="549"/>
      <c r="C148" s="549"/>
      <c r="D148" s="549"/>
      <c r="E148" s="549"/>
      <c r="F148" s="549"/>
      <c r="G148" s="549"/>
      <c r="H148" s="549"/>
      <c r="I148" s="549"/>
      <c r="J148" s="549"/>
      <c r="K148" s="549"/>
      <c r="L148" s="549"/>
      <c r="M148" s="549"/>
      <c r="N148" s="549"/>
      <c r="O148" s="549"/>
      <c r="P148" s="549"/>
      <c r="Q148" s="549"/>
      <c r="R148" s="549"/>
      <c r="S148" s="549"/>
      <c r="T148" s="549"/>
      <c r="U148" s="549"/>
      <c r="V148" s="549"/>
      <c r="W148" s="549"/>
      <c r="X148" s="549"/>
      <c r="Y148" s="549"/>
      <c r="Z148" s="549"/>
      <c r="AA148" s="549"/>
      <c r="AB148" s="549"/>
      <c r="AC148" s="549"/>
      <c r="AD148" s="549"/>
      <c r="AE148" s="549"/>
      <c r="AF148" s="549"/>
      <c r="AG148" s="549"/>
      <c r="AH148" s="549"/>
      <c r="AI148" s="549"/>
      <c r="AJ148" s="549"/>
      <c r="AK148" s="549"/>
      <c r="AL148" s="549"/>
      <c r="AM148" s="549"/>
      <c r="AN148" s="549"/>
      <c r="AO148" s="549"/>
      <c r="AP148" s="549"/>
      <c r="AQ148" s="549"/>
      <c r="AR148" s="549"/>
      <c r="AS148" s="549"/>
      <c r="AT148" s="549"/>
      <c r="AU148" s="549"/>
      <c r="AV148" s="549"/>
      <c r="AW148" s="549"/>
      <c r="AX148" s="549"/>
      <c r="AY148" s="549"/>
      <c r="AZ148" s="549"/>
      <c r="BA148" s="549"/>
      <c r="BB148" s="549"/>
      <c r="BC148" s="549"/>
      <c r="BD148" s="549"/>
      <c r="BE148" s="549"/>
      <c r="BF148" s="549"/>
      <c r="BG148" s="549"/>
      <c r="BH148" s="549"/>
      <c r="BI148" s="549"/>
      <c r="BJ148" s="549"/>
      <c r="BK148" s="549"/>
      <c r="BL148" s="549"/>
      <c r="BM148" s="549"/>
      <c r="BN148" s="549"/>
      <c r="BO148" s="549"/>
      <c r="BP148" s="549"/>
      <c r="BQ148" s="549"/>
      <c r="BR148" s="549"/>
      <c r="BS148" s="549"/>
      <c r="BT148" s="549"/>
      <c r="BU148" s="549"/>
      <c r="BV148" s="549"/>
      <c r="BW148" s="549"/>
      <c r="BX148" s="549"/>
      <c r="BY148" s="549"/>
      <c r="BZ148" s="549"/>
      <c r="CA148" s="549"/>
    </row>
    <row r="149" spans="1:79" ht="15.75" customHeight="1">
      <c r="A149" s="614"/>
      <c r="B149" s="549"/>
      <c r="C149" s="549"/>
      <c r="D149" s="549"/>
      <c r="E149" s="549"/>
      <c r="F149" s="549"/>
      <c r="G149" s="549"/>
      <c r="H149" s="549"/>
      <c r="I149" s="549"/>
      <c r="J149" s="549"/>
      <c r="K149" s="549"/>
      <c r="L149" s="549"/>
      <c r="M149" s="549"/>
      <c r="N149" s="549"/>
      <c r="O149" s="549"/>
      <c r="P149" s="549"/>
      <c r="Q149" s="549"/>
      <c r="R149" s="549"/>
      <c r="S149" s="549"/>
      <c r="T149" s="549"/>
      <c r="U149" s="549"/>
      <c r="V149" s="549"/>
      <c r="W149" s="549"/>
      <c r="X149" s="549"/>
      <c r="Y149" s="549"/>
      <c r="Z149" s="549"/>
      <c r="AA149" s="549"/>
      <c r="AB149" s="549"/>
      <c r="AC149" s="549"/>
      <c r="AD149" s="549"/>
      <c r="AE149" s="549"/>
      <c r="AF149" s="549"/>
      <c r="AG149" s="549"/>
      <c r="AH149" s="549"/>
      <c r="AI149" s="549"/>
      <c r="AJ149" s="549"/>
      <c r="AK149" s="549"/>
      <c r="AL149" s="549"/>
      <c r="AM149" s="549"/>
      <c r="AN149" s="549"/>
      <c r="AO149" s="549"/>
      <c r="AP149" s="549"/>
      <c r="AQ149" s="549"/>
      <c r="AR149" s="549"/>
      <c r="AS149" s="549"/>
      <c r="AT149" s="549"/>
      <c r="AU149" s="549"/>
      <c r="AV149" s="549"/>
      <c r="AW149" s="549"/>
      <c r="AX149" s="549"/>
      <c r="AY149" s="549"/>
      <c r="AZ149" s="549"/>
      <c r="BA149" s="549"/>
      <c r="BB149" s="549"/>
      <c r="BC149" s="549"/>
      <c r="BD149" s="549"/>
      <c r="BE149" s="549"/>
      <c r="BF149" s="549"/>
      <c r="BG149" s="549"/>
      <c r="BH149" s="549"/>
      <c r="BI149" s="549"/>
      <c r="BJ149" s="549"/>
      <c r="BK149" s="549"/>
      <c r="BL149" s="549"/>
      <c r="BM149" s="549"/>
      <c r="BN149" s="549"/>
      <c r="BO149" s="549"/>
      <c r="BP149" s="549"/>
      <c r="BQ149" s="549"/>
      <c r="BR149" s="549"/>
      <c r="BS149" s="549"/>
      <c r="BT149" s="549"/>
      <c r="BU149" s="549"/>
      <c r="BV149" s="549"/>
      <c r="BW149" s="549"/>
      <c r="BX149" s="549"/>
      <c r="BY149" s="549"/>
      <c r="BZ149" s="549"/>
      <c r="CA149" s="549"/>
    </row>
    <row r="150" spans="1:79" ht="15.75" customHeight="1">
      <c r="A150" s="614"/>
      <c r="B150" s="549"/>
      <c r="C150" s="549"/>
      <c r="D150" s="549"/>
      <c r="E150" s="549"/>
      <c r="F150" s="549"/>
      <c r="G150" s="549"/>
      <c r="H150" s="549"/>
      <c r="I150" s="549"/>
      <c r="J150" s="549"/>
      <c r="K150" s="549"/>
      <c r="L150" s="549"/>
      <c r="M150" s="549"/>
      <c r="N150" s="549"/>
      <c r="O150" s="549"/>
      <c r="P150" s="549"/>
      <c r="Q150" s="549"/>
      <c r="R150" s="549"/>
      <c r="S150" s="549"/>
      <c r="T150" s="549"/>
      <c r="U150" s="549"/>
      <c r="V150" s="549"/>
      <c r="W150" s="549"/>
      <c r="X150" s="549"/>
      <c r="Y150" s="549"/>
      <c r="Z150" s="549"/>
      <c r="AA150" s="549"/>
      <c r="AB150" s="549"/>
      <c r="AC150" s="549"/>
      <c r="AD150" s="549"/>
      <c r="AE150" s="549"/>
      <c r="AF150" s="549"/>
      <c r="AG150" s="549"/>
      <c r="AH150" s="549"/>
      <c r="AI150" s="549"/>
      <c r="AJ150" s="549"/>
      <c r="AK150" s="549"/>
      <c r="AL150" s="549"/>
      <c r="AM150" s="549"/>
      <c r="AN150" s="549"/>
      <c r="AO150" s="549"/>
      <c r="AP150" s="549"/>
      <c r="AQ150" s="549"/>
      <c r="AR150" s="549"/>
      <c r="AS150" s="549"/>
      <c r="AT150" s="549"/>
      <c r="AU150" s="549"/>
      <c r="AV150" s="549"/>
      <c r="AW150" s="549"/>
      <c r="AX150" s="549"/>
      <c r="AY150" s="549"/>
      <c r="AZ150" s="549"/>
      <c r="BA150" s="549"/>
      <c r="BB150" s="549"/>
      <c r="BC150" s="549"/>
      <c r="BD150" s="549"/>
      <c r="BE150" s="549"/>
      <c r="BF150" s="549"/>
      <c r="BG150" s="549"/>
      <c r="BH150" s="549"/>
      <c r="BI150" s="549"/>
      <c r="BJ150" s="549"/>
      <c r="BK150" s="549"/>
      <c r="BL150" s="549"/>
      <c r="BM150" s="549"/>
      <c r="BN150" s="549"/>
      <c r="BO150" s="549"/>
      <c r="BP150" s="549"/>
      <c r="BQ150" s="549"/>
      <c r="BR150" s="549"/>
      <c r="BS150" s="549"/>
      <c r="BT150" s="549"/>
      <c r="BU150" s="549"/>
      <c r="BV150" s="549"/>
      <c r="BW150" s="549"/>
      <c r="BX150" s="549"/>
      <c r="BY150" s="549"/>
      <c r="BZ150" s="549"/>
      <c r="CA150" s="549"/>
    </row>
    <row r="151" spans="1:79" ht="15.75" customHeight="1">
      <c r="A151" s="614"/>
      <c r="B151" s="549"/>
      <c r="C151" s="549"/>
      <c r="D151" s="549"/>
      <c r="E151" s="549"/>
      <c r="F151" s="549"/>
      <c r="G151" s="549"/>
      <c r="H151" s="549"/>
      <c r="I151" s="549"/>
      <c r="J151" s="549"/>
      <c r="K151" s="549"/>
      <c r="L151" s="549"/>
      <c r="M151" s="549"/>
      <c r="N151" s="549"/>
      <c r="O151" s="549"/>
      <c r="P151" s="549"/>
      <c r="Q151" s="549"/>
      <c r="R151" s="549"/>
      <c r="S151" s="549"/>
      <c r="T151" s="549"/>
      <c r="U151" s="549"/>
      <c r="V151" s="549"/>
      <c r="W151" s="549"/>
      <c r="X151" s="549"/>
      <c r="Y151" s="549"/>
      <c r="Z151" s="549"/>
      <c r="AA151" s="549"/>
      <c r="AB151" s="549"/>
      <c r="AC151" s="549"/>
      <c r="AD151" s="549"/>
      <c r="AE151" s="549"/>
      <c r="AF151" s="549"/>
      <c r="AG151" s="549"/>
      <c r="AH151" s="549"/>
      <c r="AI151" s="549"/>
      <c r="AJ151" s="549"/>
      <c r="AK151" s="549"/>
      <c r="AL151" s="549"/>
      <c r="AM151" s="549"/>
      <c r="AN151" s="549"/>
      <c r="AO151" s="549"/>
      <c r="AP151" s="549"/>
      <c r="AQ151" s="549"/>
      <c r="AR151" s="549"/>
      <c r="AS151" s="549"/>
      <c r="AT151" s="549"/>
      <c r="AU151" s="549"/>
      <c r="AV151" s="549"/>
      <c r="AW151" s="549"/>
      <c r="AX151" s="549"/>
      <c r="AY151" s="549"/>
      <c r="AZ151" s="549"/>
      <c r="BA151" s="549"/>
      <c r="BB151" s="549"/>
      <c r="BC151" s="549"/>
      <c r="BD151" s="549"/>
      <c r="BE151" s="549"/>
      <c r="BF151" s="549"/>
      <c r="BG151" s="549"/>
      <c r="BH151" s="549"/>
      <c r="BI151" s="549"/>
      <c r="BJ151" s="549"/>
      <c r="BK151" s="549"/>
      <c r="BL151" s="549"/>
      <c r="BM151" s="549"/>
      <c r="BN151" s="549"/>
      <c r="BO151" s="549"/>
      <c r="BP151" s="549"/>
      <c r="BQ151" s="549"/>
      <c r="BR151" s="549"/>
      <c r="BS151" s="549"/>
      <c r="BT151" s="549"/>
      <c r="BU151" s="549"/>
      <c r="BV151" s="549"/>
      <c r="BW151" s="549"/>
      <c r="BX151" s="549"/>
      <c r="BY151" s="549"/>
      <c r="BZ151" s="549"/>
      <c r="CA151" s="549"/>
    </row>
    <row r="152" spans="1:79" ht="15.75" customHeight="1">
      <c r="A152" s="614"/>
      <c r="B152" s="549"/>
      <c r="C152" s="549"/>
      <c r="D152" s="549"/>
      <c r="E152" s="549"/>
      <c r="F152" s="549"/>
      <c r="G152" s="549"/>
      <c r="H152" s="549"/>
      <c r="I152" s="549"/>
      <c r="J152" s="549"/>
      <c r="K152" s="549"/>
      <c r="L152" s="549"/>
      <c r="M152" s="549"/>
      <c r="N152" s="549"/>
      <c r="O152" s="549"/>
      <c r="P152" s="549"/>
      <c r="Q152" s="549"/>
      <c r="R152" s="549"/>
      <c r="S152" s="549"/>
      <c r="T152" s="549"/>
      <c r="U152" s="549"/>
      <c r="V152" s="549"/>
      <c r="W152" s="549"/>
      <c r="X152" s="549"/>
      <c r="Y152" s="549"/>
      <c r="Z152" s="549"/>
      <c r="AA152" s="549"/>
      <c r="AB152" s="549"/>
      <c r="AC152" s="549"/>
      <c r="AD152" s="549"/>
      <c r="AE152" s="549"/>
      <c r="AF152" s="549"/>
      <c r="AG152" s="549"/>
      <c r="AH152" s="549"/>
      <c r="AI152" s="549"/>
      <c r="AJ152" s="549"/>
      <c r="AK152" s="549"/>
      <c r="AL152" s="549"/>
      <c r="AM152" s="549"/>
      <c r="AN152" s="549"/>
      <c r="AO152" s="549"/>
      <c r="AP152" s="549"/>
      <c r="AQ152" s="549"/>
      <c r="AR152" s="549"/>
      <c r="AS152" s="549"/>
      <c r="AT152" s="549"/>
      <c r="AU152" s="549"/>
      <c r="AV152" s="549"/>
      <c r="AW152" s="549"/>
      <c r="AX152" s="549"/>
      <c r="AY152" s="549"/>
      <c r="AZ152" s="549"/>
      <c r="BA152" s="549"/>
      <c r="BB152" s="549"/>
      <c r="BC152" s="549"/>
      <c r="BD152" s="549"/>
      <c r="BE152" s="549"/>
      <c r="BF152" s="549"/>
      <c r="BG152" s="549"/>
      <c r="BH152" s="549"/>
      <c r="BI152" s="549"/>
      <c r="BJ152" s="549"/>
      <c r="BK152" s="549"/>
      <c r="BL152" s="549"/>
      <c r="BM152" s="549"/>
      <c r="BN152" s="549"/>
      <c r="BO152" s="549"/>
      <c r="BP152" s="549"/>
      <c r="BQ152" s="549"/>
      <c r="BR152" s="549"/>
      <c r="BS152" s="549"/>
      <c r="BT152" s="549"/>
      <c r="BU152" s="549"/>
      <c r="BV152" s="549"/>
      <c r="BW152" s="549"/>
      <c r="BX152" s="549"/>
      <c r="BY152" s="549"/>
      <c r="BZ152" s="549"/>
      <c r="CA152" s="549"/>
    </row>
    <row r="153" spans="1:79" ht="15.75" customHeight="1">
      <c r="A153" s="614"/>
      <c r="B153" s="549"/>
      <c r="C153" s="549"/>
      <c r="D153" s="549"/>
      <c r="E153" s="549"/>
      <c r="F153" s="549"/>
      <c r="G153" s="549"/>
      <c r="H153" s="549"/>
      <c r="I153" s="549"/>
      <c r="J153" s="549"/>
      <c r="K153" s="549"/>
      <c r="L153" s="549"/>
      <c r="M153" s="549"/>
      <c r="N153" s="549"/>
      <c r="O153" s="549"/>
      <c r="P153" s="549"/>
      <c r="Q153" s="549"/>
      <c r="R153" s="549"/>
      <c r="S153" s="549"/>
      <c r="T153" s="549"/>
      <c r="U153" s="549"/>
      <c r="V153" s="549"/>
      <c r="W153" s="549"/>
      <c r="X153" s="549"/>
      <c r="Y153" s="549"/>
      <c r="Z153" s="549"/>
      <c r="AA153" s="549"/>
      <c r="AB153" s="549"/>
      <c r="AC153" s="549"/>
      <c r="AD153" s="549"/>
      <c r="AE153" s="549"/>
      <c r="AF153" s="549"/>
      <c r="AG153" s="549"/>
      <c r="AH153" s="549"/>
      <c r="AI153" s="549"/>
      <c r="AJ153" s="549"/>
      <c r="AK153" s="549"/>
      <c r="AL153" s="549"/>
      <c r="AM153" s="549"/>
      <c r="AN153" s="549"/>
      <c r="AO153" s="549"/>
      <c r="AP153" s="549"/>
      <c r="AQ153" s="549"/>
      <c r="AR153" s="549"/>
      <c r="AS153" s="549"/>
      <c r="AT153" s="549"/>
      <c r="AU153" s="549"/>
      <c r="AV153" s="549"/>
      <c r="AW153" s="549"/>
      <c r="AX153" s="549"/>
      <c r="AY153" s="549"/>
      <c r="AZ153" s="549"/>
      <c r="BA153" s="549"/>
      <c r="BB153" s="549"/>
      <c r="BC153" s="549"/>
      <c r="BD153" s="549"/>
      <c r="BE153" s="549"/>
      <c r="BF153" s="549"/>
      <c r="BG153" s="549"/>
      <c r="BH153" s="549"/>
      <c r="BI153" s="549"/>
      <c r="BJ153" s="549"/>
      <c r="BK153" s="549"/>
      <c r="BL153" s="549"/>
      <c r="BM153" s="549"/>
      <c r="BN153" s="549"/>
      <c r="BO153" s="549"/>
      <c r="BP153" s="549"/>
      <c r="BQ153" s="549"/>
      <c r="BR153" s="549"/>
      <c r="BS153" s="549"/>
      <c r="BT153" s="549"/>
      <c r="BU153" s="549"/>
      <c r="BV153" s="549"/>
      <c r="BW153" s="549"/>
      <c r="BX153" s="549"/>
      <c r="BY153" s="549"/>
      <c r="BZ153" s="549"/>
      <c r="CA153" s="549"/>
    </row>
    <row r="154" spans="1:79" ht="15.75" customHeight="1">
      <c r="A154" s="614"/>
      <c r="B154" s="549"/>
      <c r="C154" s="549"/>
      <c r="D154" s="549"/>
      <c r="E154" s="549"/>
      <c r="F154" s="549"/>
      <c r="G154" s="549"/>
      <c r="H154" s="549"/>
      <c r="I154" s="549"/>
      <c r="J154" s="549"/>
      <c r="K154" s="549"/>
      <c r="L154" s="549"/>
      <c r="M154" s="549"/>
      <c r="N154" s="549"/>
      <c r="O154" s="549"/>
      <c r="P154" s="549"/>
      <c r="Q154" s="549"/>
      <c r="R154" s="549"/>
      <c r="S154" s="549"/>
      <c r="T154" s="549"/>
      <c r="U154" s="549"/>
      <c r="V154" s="549"/>
      <c r="W154" s="549"/>
      <c r="X154" s="549"/>
      <c r="Y154" s="549"/>
      <c r="Z154" s="549"/>
      <c r="AA154" s="549"/>
      <c r="AB154" s="549"/>
      <c r="AC154" s="549"/>
      <c r="AD154" s="549"/>
      <c r="AE154" s="549"/>
      <c r="AF154" s="549"/>
      <c r="AG154" s="549"/>
      <c r="AH154" s="549"/>
      <c r="AI154" s="549"/>
      <c r="AJ154" s="549"/>
      <c r="AK154" s="549"/>
      <c r="AL154" s="549"/>
      <c r="AM154" s="549"/>
      <c r="AN154" s="549"/>
      <c r="AO154" s="549"/>
      <c r="AP154" s="549"/>
      <c r="AQ154" s="549"/>
      <c r="AR154" s="549"/>
      <c r="AS154" s="549"/>
      <c r="AT154" s="549"/>
      <c r="AU154" s="549"/>
      <c r="AV154" s="549"/>
      <c r="AW154" s="549"/>
      <c r="AX154" s="549"/>
      <c r="AY154" s="549"/>
      <c r="AZ154" s="549"/>
      <c r="BA154" s="549"/>
      <c r="BB154" s="549"/>
      <c r="BC154" s="549"/>
      <c r="BD154" s="549"/>
      <c r="BE154" s="549"/>
      <c r="BF154" s="549"/>
      <c r="BG154" s="549"/>
      <c r="BH154" s="549"/>
      <c r="BI154" s="549"/>
      <c r="BJ154" s="549"/>
      <c r="BK154" s="549"/>
      <c r="BL154" s="549"/>
      <c r="BM154" s="549"/>
      <c r="BN154" s="549"/>
      <c r="BO154" s="549"/>
      <c r="BP154" s="549"/>
      <c r="BQ154" s="549"/>
      <c r="BR154" s="549"/>
      <c r="BS154" s="549"/>
      <c r="BT154" s="549"/>
      <c r="BU154" s="549"/>
      <c r="BV154" s="549"/>
      <c r="BW154" s="549"/>
      <c r="BX154" s="549"/>
      <c r="BY154" s="549"/>
      <c r="BZ154" s="549"/>
      <c r="CA154" s="549"/>
    </row>
    <row r="155" spans="1:79" ht="15.75" customHeight="1">
      <c r="A155" s="614"/>
      <c r="B155" s="549"/>
      <c r="C155" s="549"/>
      <c r="D155" s="549"/>
      <c r="E155" s="549"/>
      <c r="F155" s="549"/>
      <c r="G155" s="549"/>
      <c r="H155" s="549"/>
      <c r="I155" s="549"/>
      <c r="J155" s="549"/>
      <c r="K155" s="549"/>
      <c r="L155" s="549"/>
      <c r="M155" s="549"/>
      <c r="N155" s="549"/>
      <c r="O155" s="549"/>
      <c r="P155" s="549"/>
      <c r="Q155" s="549"/>
      <c r="R155" s="549"/>
      <c r="S155" s="549"/>
      <c r="T155" s="549"/>
      <c r="U155" s="549"/>
      <c r="V155" s="549"/>
      <c r="W155" s="549"/>
      <c r="X155" s="549"/>
      <c r="Y155" s="549"/>
      <c r="Z155" s="549"/>
      <c r="AA155" s="549"/>
      <c r="AB155" s="549"/>
      <c r="AC155" s="549"/>
      <c r="AD155" s="549"/>
      <c r="AE155" s="549"/>
      <c r="AF155" s="549"/>
      <c r="AG155" s="549"/>
      <c r="AH155" s="549"/>
      <c r="AI155" s="549"/>
      <c r="AJ155" s="549"/>
      <c r="AK155" s="549"/>
      <c r="AL155" s="549"/>
      <c r="AM155" s="549"/>
      <c r="AN155" s="549"/>
      <c r="AO155" s="549"/>
      <c r="AP155" s="549"/>
      <c r="AQ155" s="549"/>
      <c r="AR155" s="549"/>
      <c r="AS155" s="549"/>
      <c r="AT155" s="549"/>
      <c r="AU155" s="549"/>
      <c r="AV155" s="549"/>
      <c r="AW155" s="549"/>
      <c r="AX155" s="549"/>
      <c r="AY155" s="549"/>
      <c r="AZ155" s="549"/>
      <c r="BA155" s="549"/>
      <c r="BB155" s="549"/>
      <c r="BC155" s="549"/>
      <c r="BD155" s="549"/>
      <c r="BE155" s="549"/>
      <c r="BF155" s="549"/>
      <c r="BG155" s="549"/>
      <c r="BH155" s="549"/>
      <c r="BI155" s="549"/>
      <c r="BJ155" s="549"/>
      <c r="BK155" s="549"/>
      <c r="BL155" s="549"/>
      <c r="BM155" s="549"/>
      <c r="BN155" s="549"/>
      <c r="BO155" s="549"/>
      <c r="BP155" s="549"/>
      <c r="BQ155" s="549"/>
      <c r="BR155" s="549"/>
      <c r="BS155" s="549"/>
      <c r="BT155" s="549"/>
      <c r="BU155" s="549"/>
      <c r="BV155" s="549"/>
      <c r="BW155" s="549"/>
      <c r="BX155" s="549"/>
      <c r="BY155" s="549"/>
      <c r="BZ155" s="549"/>
      <c r="CA155" s="549"/>
    </row>
    <row r="156" spans="1:79" ht="15.75" customHeight="1">
      <c r="A156" s="614"/>
      <c r="B156" s="549"/>
      <c r="C156" s="549"/>
      <c r="D156" s="549"/>
      <c r="E156" s="549"/>
      <c r="F156" s="549"/>
      <c r="G156" s="549"/>
      <c r="H156" s="549"/>
      <c r="I156" s="549"/>
      <c r="J156" s="549"/>
      <c r="K156" s="549"/>
      <c r="L156" s="549"/>
      <c r="M156" s="549"/>
      <c r="N156" s="549"/>
      <c r="O156" s="549"/>
      <c r="P156" s="549"/>
      <c r="Q156" s="549"/>
      <c r="R156" s="549"/>
      <c r="S156" s="549"/>
      <c r="T156" s="549"/>
      <c r="U156" s="549"/>
      <c r="V156" s="549"/>
      <c r="W156" s="549"/>
      <c r="X156" s="549"/>
      <c r="Y156" s="549"/>
      <c r="Z156" s="549"/>
      <c r="AA156" s="549"/>
      <c r="AB156" s="549"/>
      <c r="AC156" s="549"/>
      <c r="AD156" s="549"/>
      <c r="AE156" s="549"/>
      <c r="AF156" s="549"/>
      <c r="AG156" s="549"/>
      <c r="AH156" s="549"/>
      <c r="AI156" s="549"/>
      <c r="AJ156" s="549"/>
      <c r="AK156" s="549"/>
      <c r="AL156" s="549"/>
      <c r="AM156" s="549"/>
      <c r="AN156" s="549"/>
      <c r="AO156" s="549"/>
      <c r="AP156" s="549"/>
      <c r="AQ156" s="549"/>
      <c r="AR156" s="549"/>
      <c r="AS156" s="549"/>
      <c r="AT156" s="549"/>
      <c r="AU156" s="549"/>
      <c r="AV156" s="549"/>
      <c r="AW156" s="549"/>
      <c r="AX156" s="549"/>
      <c r="AY156" s="549"/>
      <c r="AZ156" s="549"/>
      <c r="BA156" s="549"/>
      <c r="BB156" s="549"/>
      <c r="BC156" s="549"/>
      <c r="BD156" s="549"/>
      <c r="BE156" s="549"/>
      <c r="BF156" s="549"/>
      <c r="BG156" s="549"/>
      <c r="BH156" s="549"/>
      <c r="BI156" s="549"/>
      <c r="BJ156" s="549"/>
      <c r="BK156" s="549"/>
      <c r="BL156" s="549"/>
      <c r="BM156" s="549"/>
      <c r="BN156" s="549"/>
      <c r="BO156" s="549"/>
      <c r="BP156" s="549"/>
      <c r="BQ156" s="549"/>
      <c r="BR156" s="549"/>
      <c r="BS156" s="549"/>
      <c r="BT156" s="549"/>
      <c r="BU156" s="549"/>
      <c r="BV156" s="549"/>
      <c r="BW156" s="549"/>
      <c r="BX156" s="549"/>
      <c r="BY156" s="549"/>
      <c r="BZ156" s="549"/>
      <c r="CA156" s="549"/>
    </row>
    <row r="157" spans="1:79" ht="15.75" customHeight="1">
      <c r="A157" s="614"/>
      <c r="B157" s="549"/>
      <c r="C157" s="549"/>
      <c r="D157" s="549"/>
      <c r="E157" s="549"/>
      <c r="F157" s="549"/>
      <c r="G157" s="549"/>
      <c r="H157" s="549"/>
      <c r="I157" s="549"/>
      <c r="J157" s="549"/>
      <c r="K157" s="549"/>
      <c r="L157" s="549"/>
      <c r="M157" s="549"/>
      <c r="N157" s="549"/>
      <c r="O157" s="549"/>
      <c r="P157" s="549"/>
      <c r="Q157" s="549"/>
      <c r="R157" s="549"/>
      <c r="S157" s="549"/>
      <c r="T157" s="549"/>
      <c r="U157" s="549"/>
      <c r="V157" s="549"/>
      <c r="W157" s="549"/>
      <c r="X157" s="549"/>
      <c r="Y157" s="549"/>
      <c r="Z157" s="549"/>
      <c r="AA157" s="549"/>
      <c r="AB157" s="549"/>
      <c r="AC157" s="549"/>
      <c r="AD157" s="549"/>
      <c r="AE157" s="549"/>
      <c r="AF157" s="549"/>
      <c r="AG157" s="549"/>
      <c r="AH157" s="549"/>
      <c r="AI157" s="549"/>
      <c r="AJ157" s="549"/>
      <c r="AK157" s="549"/>
      <c r="AL157" s="549"/>
      <c r="AM157" s="549"/>
      <c r="AN157" s="549"/>
      <c r="AO157" s="549"/>
      <c r="AP157" s="549"/>
      <c r="AQ157" s="549"/>
      <c r="AR157" s="549"/>
      <c r="AS157" s="549"/>
      <c r="AT157" s="549"/>
      <c r="AU157" s="549"/>
      <c r="AV157" s="549"/>
      <c r="AW157" s="549"/>
      <c r="AX157" s="549"/>
      <c r="AY157" s="549"/>
      <c r="AZ157" s="549"/>
      <c r="BA157" s="549"/>
      <c r="BB157" s="549"/>
      <c r="BC157" s="549"/>
      <c r="BD157" s="549"/>
      <c r="BE157" s="549"/>
      <c r="BF157" s="549"/>
      <c r="BG157" s="549"/>
      <c r="BH157" s="549"/>
      <c r="BI157" s="549"/>
      <c r="BJ157" s="549"/>
      <c r="BK157" s="549"/>
      <c r="BL157" s="549"/>
      <c r="BM157" s="549"/>
      <c r="BN157" s="549"/>
      <c r="BO157" s="549"/>
      <c r="BP157" s="549"/>
      <c r="BQ157" s="549"/>
      <c r="BR157" s="549"/>
      <c r="BS157" s="549"/>
      <c r="BT157" s="549"/>
      <c r="BU157" s="549"/>
      <c r="BV157" s="549"/>
      <c r="BW157" s="549"/>
      <c r="BX157" s="549"/>
      <c r="BY157" s="549"/>
      <c r="BZ157" s="549"/>
      <c r="CA157" s="549"/>
    </row>
    <row r="158" spans="1:79" ht="15.75" customHeight="1">
      <c r="A158" s="614"/>
      <c r="B158" s="549"/>
      <c r="C158" s="549"/>
      <c r="D158" s="549"/>
      <c r="E158" s="549"/>
      <c r="F158" s="549"/>
      <c r="G158" s="549"/>
      <c r="H158" s="549"/>
      <c r="I158" s="549"/>
      <c r="J158" s="549"/>
      <c r="K158" s="549"/>
      <c r="L158" s="549"/>
      <c r="M158" s="549"/>
      <c r="N158" s="549"/>
      <c r="O158" s="549"/>
      <c r="P158" s="549"/>
      <c r="Q158" s="549"/>
      <c r="R158" s="549"/>
      <c r="S158" s="549"/>
      <c r="T158" s="549"/>
      <c r="U158" s="549"/>
      <c r="V158" s="549"/>
      <c r="W158" s="549"/>
      <c r="X158" s="549"/>
      <c r="Y158" s="549"/>
      <c r="Z158" s="549"/>
      <c r="AA158" s="549"/>
      <c r="AB158" s="549"/>
      <c r="AC158" s="549"/>
      <c r="AD158" s="549"/>
      <c r="AE158" s="549"/>
      <c r="AF158" s="549"/>
      <c r="AG158" s="549"/>
      <c r="AH158" s="549"/>
      <c r="AI158" s="549"/>
      <c r="AJ158" s="549"/>
      <c r="AK158" s="549"/>
      <c r="AL158" s="549"/>
      <c r="AM158" s="549"/>
      <c r="AN158" s="549"/>
      <c r="AO158" s="549"/>
      <c r="AP158" s="549"/>
      <c r="AQ158" s="549"/>
      <c r="AR158" s="549"/>
      <c r="AS158" s="549"/>
      <c r="AT158" s="549"/>
      <c r="AU158" s="549"/>
      <c r="AV158" s="549"/>
      <c r="AW158" s="549"/>
      <c r="AX158" s="549"/>
      <c r="AY158" s="549"/>
      <c r="AZ158" s="549"/>
      <c r="BA158" s="549"/>
      <c r="BB158" s="549"/>
      <c r="BC158" s="549"/>
      <c r="BD158" s="549"/>
      <c r="BE158" s="549"/>
      <c r="BF158" s="549"/>
      <c r="BG158" s="549"/>
      <c r="BH158" s="549"/>
      <c r="BI158" s="549"/>
      <c r="BJ158" s="549"/>
      <c r="BK158" s="549"/>
      <c r="BL158" s="549"/>
      <c r="BM158" s="549"/>
      <c r="BN158" s="549"/>
      <c r="BO158" s="549"/>
      <c r="BP158" s="549"/>
      <c r="BQ158" s="549"/>
      <c r="BR158" s="549"/>
      <c r="BS158" s="549"/>
      <c r="BT158" s="549"/>
      <c r="BU158" s="549"/>
      <c r="BV158" s="549"/>
      <c r="BW158" s="549"/>
      <c r="BX158" s="549"/>
      <c r="BY158" s="549"/>
      <c r="BZ158" s="549"/>
      <c r="CA158" s="549"/>
    </row>
    <row r="159" spans="1:79" ht="15.75" customHeight="1">
      <c r="A159" s="614"/>
      <c r="B159" s="549"/>
      <c r="C159" s="549"/>
      <c r="D159" s="549"/>
      <c r="E159" s="549"/>
      <c r="F159" s="549"/>
      <c r="G159" s="549"/>
      <c r="H159" s="549"/>
      <c r="I159" s="549"/>
      <c r="J159" s="549"/>
      <c r="K159" s="549"/>
      <c r="L159" s="549"/>
      <c r="M159" s="549"/>
      <c r="N159" s="549"/>
      <c r="O159" s="549"/>
      <c r="P159" s="549"/>
      <c r="Q159" s="549"/>
      <c r="R159" s="549"/>
      <c r="S159" s="549"/>
      <c r="T159" s="549"/>
      <c r="U159" s="549"/>
      <c r="V159" s="549"/>
      <c r="W159" s="549"/>
      <c r="X159" s="549"/>
      <c r="Y159" s="549"/>
      <c r="Z159" s="549"/>
      <c r="AA159" s="549"/>
      <c r="AB159" s="549"/>
      <c r="AC159" s="549"/>
      <c r="AD159" s="549"/>
      <c r="AE159" s="549"/>
      <c r="AF159" s="549"/>
      <c r="AG159" s="549"/>
      <c r="AH159" s="549"/>
      <c r="AI159" s="549"/>
      <c r="AJ159" s="549"/>
      <c r="AK159" s="549"/>
      <c r="AL159" s="549"/>
      <c r="AM159" s="549"/>
      <c r="AN159" s="549"/>
      <c r="AO159" s="549"/>
      <c r="AP159" s="549"/>
      <c r="AQ159" s="549"/>
      <c r="AR159" s="549"/>
      <c r="AS159" s="549"/>
      <c r="AT159" s="549"/>
      <c r="AU159" s="549"/>
      <c r="AV159" s="549"/>
      <c r="AW159" s="549"/>
      <c r="AX159" s="549"/>
      <c r="AY159" s="549"/>
      <c r="AZ159" s="549"/>
      <c r="BA159" s="549"/>
      <c r="BB159" s="549"/>
      <c r="BC159" s="549"/>
      <c r="BD159" s="549"/>
      <c r="BE159" s="549"/>
      <c r="BF159" s="549"/>
      <c r="BG159" s="549"/>
      <c r="BH159" s="549"/>
      <c r="BI159" s="549"/>
      <c r="BJ159" s="549"/>
      <c r="BK159" s="549"/>
      <c r="BL159" s="549"/>
      <c r="BM159" s="549"/>
      <c r="BN159" s="549"/>
      <c r="BO159" s="549"/>
      <c r="BP159" s="549"/>
      <c r="BQ159" s="549"/>
      <c r="BR159" s="549"/>
      <c r="BS159" s="549"/>
      <c r="BT159" s="549"/>
      <c r="BU159" s="549"/>
      <c r="BV159" s="549"/>
      <c r="BW159" s="549"/>
      <c r="BX159" s="549"/>
      <c r="BY159" s="549"/>
      <c r="BZ159" s="549"/>
      <c r="CA159" s="549"/>
    </row>
    <row r="160" spans="1:79" ht="15.75" customHeight="1">
      <c r="A160" s="614"/>
      <c r="B160" s="549"/>
      <c r="C160" s="549"/>
      <c r="D160" s="549"/>
      <c r="E160" s="549"/>
      <c r="F160" s="549"/>
      <c r="G160" s="549"/>
      <c r="H160" s="549"/>
      <c r="I160" s="549"/>
      <c r="J160" s="549"/>
      <c r="K160" s="549"/>
      <c r="L160" s="549"/>
      <c r="M160" s="549"/>
      <c r="N160" s="549"/>
      <c r="O160" s="549"/>
      <c r="P160" s="549"/>
      <c r="Q160" s="549"/>
      <c r="R160" s="549"/>
      <c r="S160" s="549"/>
      <c r="T160" s="549"/>
      <c r="U160" s="549"/>
      <c r="V160" s="549"/>
      <c r="W160" s="549"/>
      <c r="X160" s="549"/>
      <c r="Y160" s="549"/>
      <c r="Z160" s="549"/>
      <c r="AA160" s="549"/>
      <c r="AB160" s="549"/>
      <c r="AC160" s="549"/>
      <c r="AD160" s="549"/>
      <c r="AE160" s="549"/>
      <c r="AF160" s="549"/>
      <c r="AG160" s="549"/>
      <c r="AH160" s="549"/>
      <c r="AI160" s="549"/>
      <c r="AJ160" s="549"/>
      <c r="AK160" s="549"/>
      <c r="AL160" s="549"/>
      <c r="AM160" s="549"/>
      <c r="AN160" s="549"/>
      <c r="AO160" s="549"/>
      <c r="AP160" s="549"/>
      <c r="AQ160" s="549"/>
      <c r="AR160" s="549"/>
      <c r="AS160" s="549"/>
      <c r="AT160" s="549"/>
      <c r="AU160" s="549"/>
      <c r="AV160" s="549"/>
      <c r="AW160" s="549"/>
      <c r="AX160" s="549"/>
      <c r="AY160" s="549"/>
      <c r="AZ160" s="549"/>
      <c r="BA160" s="549"/>
      <c r="BB160" s="549"/>
      <c r="BC160" s="549"/>
      <c r="BD160" s="549"/>
      <c r="BE160" s="549"/>
      <c r="BF160" s="549"/>
      <c r="BG160" s="549"/>
      <c r="BH160" s="549"/>
      <c r="BI160" s="549"/>
      <c r="BJ160" s="549"/>
      <c r="BK160" s="549"/>
      <c r="BL160" s="549"/>
      <c r="BM160" s="549"/>
      <c r="BN160" s="549"/>
      <c r="BO160" s="549"/>
      <c r="BP160" s="549"/>
      <c r="BQ160" s="549"/>
      <c r="BR160" s="549"/>
      <c r="BS160" s="549"/>
      <c r="BT160" s="549"/>
      <c r="BU160" s="549"/>
      <c r="BV160" s="549"/>
      <c r="BW160" s="549"/>
      <c r="BX160" s="549"/>
      <c r="BY160" s="549"/>
      <c r="BZ160" s="549"/>
      <c r="CA160" s="549"/>
    </row>
    <row r="161" spans="1:79" ht="15.75" customHeight="1">
      <c r="A161" s="614"/>
      <c r="B161" s="549"/>
      <c r="C161" s="549"/>
      <c r="D161" s="549"/>
      <c r="E161" s="549"/>
      <c r="F161" s="549"/>
      <c r="G161" s="549"/>
      <c r="H161" s="549"/>
      <c r="I161" s="549"/>
      <c r="J161" s="549"/>
      <c r="K161" s="549"/>
      <c r="L161" s="549"/>
      <c r="M161" s="549"/>
      <c r="N161" s="549"/>
      <c r="O161" s="549"/>
      <c r="P161" s="549"/>
      <c r="Q161" s="549"/>
      <c r="R161" s="549"/>
      <c r="S161" s="549"/>
      <c r="T161" s="549"/>
      <c r="U161" s="549"/>
      <c r="V161" s="549"/>
      <c r="W161" s="549"/>
      <c r="X161" s="549"/>
      <c r="Y161" s="549"/>
      <c r="Z161" s="549"/>
      <c r="AA161" s="549"/>
      <c r="AB161" s="549"/>
      <c r="AC161" s="549"/>
      <c r="AD161" s="549"/>
      <c r="AE161" s="549"/>
      <c r="AF161" s="549"/>
      <c r="AG161" s="549"/>
      <c r="AH161" s="549"/>
      <c r="AI161" s="549"/>
      <c r="AJ161" s="549"/>
      <c r="AK161" s="549"/>
      <c r="AL161" s="549"/>
      <c r="AM161" s="549"/>
      <c r="AN161" s="549"/>
      <c r="AO161" s="549"/>
      <c r="AP161" s="549"/>
      <c r="AQ161" s="549"/>
      <c r="AR161" s="549"/>
      <c r="AS161" s="549"/>
      <c r="AT161" s="549"/>
      <c r="AU161" s="549"/>
      <c r="AV161" s="549"/>
      <c r="AW161" s="549"/>
      <c r="AX161" s="549"/>
      <c r="AY161" s="549"/>
      <c r="AZ161" s="549"/>
      <c r="BA161" s="549"/>
      <c r="BB161" s="549"/>
      <c r="BC161" s="549"/>
      <c r="BD161" s="549"/>
      <c r="BE161" s="549"/>
      <c r="BF161" s="549"/>
      <c r="BG161" s="549"/>
      <c r="BH161" s="549"/>
      <c r="BI161" s="549"/>
      <c r="BJ161" s="549"/>
      <c r="BK161" s="549"/>
      <c r="BL161" s="549"/>
      <c r="BM161" s="549"/>
      <c r="BN161" s="549"/>
      <c r="BO161" s="549"/>
      <c r="BP161" s="549"/>
      <c r="BQ161" s="549"/>
      <c r="BR161" s="549"/>
      <c r="BS161" s="549"/>
      <c r="BT161" s="549"/>
      <c r="BU161" s="549"/>
      <c r="BV161" s="549"/>
      <c r="BW161" s="549"/>
      <c r="BX161" s="549"/>
      <c r="BY161" s="549"/>
      <c r="BZ161" s="549"/>
      <c r="CA161" s="549"/>
    </row>
    <row r="162" spans="1:79" ht="15.75" customHeight="1">
      <c r="A162" s="614"/>
      <c r="B162" s="549"/>
      <c r="C162" s="549"/>
      <c r="D162" s="549"/>
      <c r="E162" s="549"/>
      <c r="F162" s="549"/>
      <c r="G162" s="549"/>
      <c r="H162" s="549"/>
      <c r="I162" s="549"/>
      <c r="J162" s="549"/>
      <c r="K162" s="549"/>
      <c r="L162" s="549"/>
      <c r="M162" s="549"/>
      <c r="N162" s="549"/>
      <c r="O162" s="549"/>
      <c r="P162" s="549"/>
      <c r="Q162" s="549"/>
      <c r="R162" s="549"/>
      <c r="S162" s="549"/>
      <c r="T162" s="549"/>
      <c r="U162" s="549"/>
      <c r="V162" s="549"/>
      <c r="W162" s="549"/>
      <c r="X162" s="549"/>
      <c r="Y162" s="549"/>
      <c r="Z162" s="549"/>
      <c r="AA162" s="549"/>
      <c r="AB162" s="549"/>
      <c r="AC162" s="549"/>
      <c r="AD162" s="549"/>
      <c r="AE162" s="549"/>
      <c r="AF162" s="549"/>
      <c r="AG162" s="549"/>
      <c r="AH162" s="549"/>
      <c r="AI162" s="549"/>
      <c r="AJ162" s="549"/>
      <c r="AK162" s="549"/>
      <c r="AL162" s="549"/>
      <c r="AM162" s="549"/>
      <c r="AN162" s="549"/>
      <c r="AO162" s="549"/>
      <c r="AP162" s="549"/>
      <c r="AQ162" s="549"/>
      <c r="AR162" s="549"/>
      <c r="AS162" s="549"/>
      <c r="AT162" s="549"/>
      <c r="AU162" s="549"/>
      <c r="AV162" s="549"/>
      <c r="AW162" s="549"/>
      <c r="AX162" s="549"/>
      <c r="AY162" s="549"/>
      <c r="AZ162" s="549"/>
      <c r="BA162" s="549"/>
      <c r="BB162" s="549"/>
      <c r="BC162" s="549"/>
      <c r="BD162" s="549"/>
      <c r="BE162" s="549"/>
      <c r="BF162" s="549"/>
      <c r="BG162" s="549"/>
      <c r="BH162" s="549"/>
      <c r="BI162" s="549"/>
      <c r="BJ162" s="549"/>
      <c r="BK162" s="549"/>
      <c r="BL162" s="549"/>
      <c r="BM162" s="549"/>
      <c r="BN162" s="549"/>
      <c r="BO162" s="549"/>
      <c r="BP162" s="549"/>
      <c r="BQ162" s="549"/>
      <c r="BR162" s="549"/>
      <c r="BS162" s="549"/>
      <c r="BT162" s="549"/>
      <c r="BU162" s="549"/>
      <c r="BV162" s="549"/>
      <c r="BW162" s="549"/>
      <c r="BX162" s="549"/>
      <c r="BY162" s="549"/>
      <c r="BZ162" s="549"/>
      <c r="CA162" s="549"/>
    </row>
    <row r="163" spans="1:79" ht="15.75" customHeight="1">
      <c r="A163" s="614"/>
      <c r="B163" s="549"/>
      <c r="C163" s="549"/>
      <c r="D163" s="549"/>
      <c r="E163" s="549"/>
      <c r="F163" s="549"/>
      <c r="G163" s="549"/>
      <c r="H163" s="549"/>
      <c r="I163" s="549"/>
      <c r="J163" s="549"/>
      <c r="K163" s="549"/>
      <c r="L163" s="549"/>
      <c r="M163" s="549"/>
      <c r="N163" s="549"/>
      <c r="O163" s="549"/>
      <c r="P163" s="549"/>
      <c r="Q163" s="549"/>
      <c r="R163" s="549"/>
      <c r="S163" s="549"/>
      <c r="T163" s="549"/>
      <c r="U163" s="549"/>
      <c r="V163" s="549"/>
      <c r="W163" s="549"/>
      <c r="X163" s="549"/>
      <c r="Y163" s="549"/>
      <c r="Z163" s="549"/>
      <c r="AA163" s="549"/>
      <c r="AB163" s="549"/>
      <c r="AC163" s="549"/>
      <c r="AD163" s="549"/>
      <c r="AE163" s="549"/>
      <c r="AF163" s="549"/>
      <c r="AG163" s="549"/>
      <c r="AH163" s="549"/>
      <c r="AI163" s="549"/>
      <c r="AJ163" s="549"/>
      <c r="AK163" s="549"/>
      <c r="AL163" s="549"/>
      <c r="AM163" s="549"/>
      <c r="AN163" s="549"/>
      <c r="AO163" s="549"/>
      <c r="AP163" s="549"/>
      <c r="AQ163" s="549"/>
      <c r="AR163" s="549"/>
      <c r="AS163" s="549"/>
      <c r="AT163" s="549"/>
      <c r="AU163" s="549"/>
      <c r="AV163" s="549"/>
      <c r="AW163" s="549"/>
      <c r="AX163" s="549"/>
      <c r="AY163" s="549"/>
      <c r="AZ163" s="549"/>
      <c r="BA163" s="549"/>
      <c r="BB163" s="549"/>
      <c r="BC163" s="549"/>
      <c r="BD163" s="549"/>
      <c r="BE163" s="549"/>
      <c r="BF163" s="549"/>
      <c r="BG163" s="549"/>
      <c r="BH163" s="549"/>
      <c r="BI163" s="549"/>
      <c r="BJ163" s="549"/>
      <c r="BK163" s="549"/>
      <c r="BL163" s="549"/>
      <c r="BM163" s="549"/>
      <c r="BN163" s="549"/>
      <c r="BO163" s="549"/>
      <c r="BP163" s="549"/>
      <c r="BQ163" s="549"/>
      <c r="BR163" s="549"/>
      <c r="BS163" s="549"/>
      <c r="BT163" s="549"/>
      <c r="BU163" s="549"/>
      <c r="BV163" s="549"/>
      <c r="BW163" s="549"/>
      <c r="BX163" s="549"/>
      <c r="BY163" s="549"/>
      <c r="BZ163" s="549"/>
      <c r="CA163" s="549"/>
    </row>
    <row r="164" spans="1:79" ht="15.75" customHeight="1">
      <c r="A164" s="614"/>
      <c r="B164" s="549"/>
      <c r="C164" s="549"/>
      <c r="D164" s="549"/>
      <c r="E164" s="549"/>
      <c r="F164" s="549"/>
      <c r="G164" s="549"/>
      <c r="H164" s="549"/>
      <c r="I164" s="549"/>
      <c r="J164" s="549"/>
      <c r="K164" s="549"/>
      <c r="L164" s="549"/>
      <c r="M164" s="549"/>
      <c r="N164" s="549"/>
      <c r="O164" s="549"/>
      <c r="P164" s="549"/>
      <c r="Q164" s="549"/>
      <c r="R164" s="549"/>
      <c r="S164" s="549"/>
      <c r="T164" s="549"/>
      <c r="U164" s="549"/>
      <c r="V164" s="549"/>
      <c r="W164" s="549"/>
      <c r="X164" s="549"/>
      <c r="Y164" s="549"/>
      <c r="Z164" s="549"/>
      <c r="AA164" s="549"/>
      <c r="AB164" s="549"/>
      <c r="AC164" s="549"/>
      <c r="AD164" s="549"/>
      <c r="AE164" s="549"/>
      <c r="AF164" s="549"/>
      <c r="AG164" s="549"/>
      <c r="AH164" s="549"/>
      <c r="AI164" s="549"/>
      <c r="AJ164" s="549"/>
      <c r="AK164" s="549"/>
      <c r="AL164" s="549"/>
      <c r="AM164" s="549"/>
      <c r="AN164" s="549"/>
      <c r="AO164" s="549"/>
      <c r="AP164" s="549"/>
      <c r="AQ164" s="549"/>
      <c r="AR164" s="549"/>
      <c r="AS164" s="549"/>
      <c r="AT164" s="549"/>
      <c r="AU164" s="549"/>
      <c r="AV164" s="549"/>
      <c r="AW164" s="549"/>
      <c r="AX164" s="549"/>
      <c r="AY164" s="549"/>
      <c r="AZ164" s="549"/>
      <c r="BA164" s="549"/>
      <c r="BB164" s="549"/>
      <c r="BC164" s="549"/>
      <c r="BD164" s="549"/>
      <c r="BE164" s="549"/>
      <c r="BF164" s="549"/>
      <c r="BG164" s="549"/>
      <c r="BH164" s="549"/>
      <c r="BI164" s="549"/>
      <c r="BJ164" s="549"/>
      <c r="BK164" s="549"/>
      <c r="BL164" s="549"/>
      <c r="BM164" s="549"/>
      <c r="BN164" s="549"/>
      <c r="BO164" s="549"/>
      <c r="BP164" s="549"/>
      <c r="BQ164" s="549"/>
      <c r="BR164" s="549"/>
      <c r="BS164" s="549"/>
      <c r="BT164" s="549"/>
      <c r="BU164" s="549"/>
      <c r="BV164" s="549"/>
      <c r="BW164" s="549"/>
      <c r="BX164" s="549"/>
      <c r="BY164" s="549"/>
      <c r="BZ164" s="549"/>
      <c r="CA164" s="549"/>
    </row>
    <row r="165" spans="1:79" ht="15.75" customHeight="1">
      <c r="A165" s="614"/>
      <c r="B165" s="549"/>
      <c r="C165" s="549"/>
      <c r="D165" s="549"/>
      <c r="E165" s="549"/>
      <c r="F165" s="549"/>
      <c r="G165" s="549"/>
      <c r="H165" s="549"/>
      <c r="I165" s="549"/>
      <c r="J165" s="549"/>
      <c r="K165" s="549"/>
      <c r="L165" s="549"/>
      <c r="M165" s="549"/>
      <c r="N165" s="549"/>
      <c r="O165" s="549"/>
      <c r="P165" s="549"/>
      <c r="Q165" s="549"/>
      <c r="R165" s="549"/>
      <c r="S165" s="549"/>
      <c r="T165" s="549"/>
      <c r="U165" s="549"/>
      <c r="V165" s="549"/>
      <c r="W165" s="549"/>
      <c r="X165" s="549"/>
      <c r="Y165" s="549"/>
      <c r="Z165" s="549"/>
      <c r="AA165" s="549"/>
      <c r="AB165" s="549"/>
      <c r="AC165" s="549"/>
      <c r="AD165" s="549"/>
      <c r="AE165" s="549"/>
      <c r="AF165" s="549"/>
      <c r="AG165" s="549"/>
      <c r="AH165" s="549"/>
      <c r="AI165" s="549"/>
      <c r="AJ165" s="549"/>
      <c r="AK165" s="549"/>
      <c r="AL165" s="549"/>
      <c r="AM165" s="549"/>
      <c r="AN165" s="549"/>
      <c r="AO165" s="549"/>
      <c r="AP165" s="549"/>
      <c r="AQ165" s="549"/>
      <c r="AR165" s="549"/>
      <c r="AS165" s="549"/>
      <c r="AT165" s="549"/>
      <c r="AU165" s="549"/>
      <c r="AV165" s="549"/>
      <c r="AW165" s="549"/>
      <c r="AX165" s="549"/>
      <c r="AY165" s="549"/>
      <c r="AZ165" s="549"/>
      <c r="BA165" s="549"/>
      <c r="BB165" s="549"/>
      <c r="BC165" s="549"/>
      <c r="BD165" s="549"/>
      <c r="BE165" s="549"/>
      <c r="BF165" s="549"/>
      <c r="BG165" s="549"/>
      <c r="BH165" s="549"/>
      <c r="BI165" s="549"/>
      <c r="BJ165" s="549"/>
      <c r="BK165" s="549"/>
      <c r="BL165" s="549"/>
      <c r="BM165" s="549"/>
      <c r="BN165" s="549"/>
      <c r="BO165" s="549"/>
      <c r="BP165" s="549"/>
      <c r="BQ165" s="549"/>
      <c r="BR165" s="549"/>
      <c r="BS165" s="549"/>
      <c r="BT165" s="549"/>
      <c r="BU165" s="549"/>
      <c r="BV165" s="549"/>
      <c r="BW165" s="549"/>
      <c r="BX165" s="549"/>
      <c r="BY165" s="549"/>
      <c r="BZ165" s="549"/>
      <c r="CA165" s="549"/>
    </row>
    <row r="166" spans="1:79" ht="15.75" customHeight="1">
      <c r="A166" s="614"/>
      <c r="B166" s="549"/>
      <c r="C166" s="549"/>
      <c r="D166" s="549"/>
      <c r="E166" s="549"/>
      <c r="F166" s="549"/>
      <c r="G166" s="549"/>
      <c r="H166" s="549"/>
      <c r="I166" s="549"/>
      <c r="J166" s="549"/>
      <c r="K166" s="549"/>
      <c r="L166" s="549"/>
      <c r="M166" s="549"/>
      <c r="N166" s="549"/>
      <c r="O166" s="549"/>
      <c r="P166" s="549"/>
      <c r="Q166" s="549"/>
      <c r="R166" s="549"/>
      <c r="S166" s="549"/>
      <c r="T166" s="549"/>
      <c r="U166" s="549"/>
      <c r="V166" s="549"/>
      <c r="W166" s="549"/>
      <c r="X166" s="549"/>
      <c r="Y166" s="549"/>
      <c r="Z166" s="549"/>
      <c r="AA166" s="549"/>
      <c r="AB166" s="549"/>
      <c r="AC166" s="549"/>
      <c r="AD166" s="549"/>
      <c r="AE166" s="549"/>
      <c r="AF166" s="549"/>
      <c r="AG166" s="549"/>
      <c r="AH166" s="549"/>
      <c r="AI166" s="549"/>
      <c r="AJ166" s="549"/>
      <c r="AK166" s="549"/>
      <c r="AL166" s="549"/>
      <c r="AM166" s="549"/>
      <c r="AN166" s="549"/>
      <c r="AO166" s="549"/>
      <c r="AP166" s="549"/>
      <c r="AQ166" s="549"/>
      <c r="AR166" s="549"/>
      <c r="AS166" s="549"/>
      <c r="AT166" s="549"/>
      <c r="AU166" s="549"/>
      <c r="AV166" s="549"/>
      <c r="AW166" s="549"/>
      <c r="AX166" s="549"/>
      <c r="AY166" s="549"/>
      <c r="AZ166" s="549"/>
      <c r="BA166" s="549"/>
      <c r="BB166" s="549"/>
      <c r="BC166" s="549"/>
      <c r="BD166" s="549"/>
      <c r="BE166" s="549"/>
      <c r="BF166" s="549"/>
      <c r="BG166" s="549"/>
      <c r="BH166" s="549"/>
      <c r="BI166" s="549"/>
      <c r="BJ166" s="549"/>
      <c r="BK166" s="549"/>
      <c r="BL166" s="549"/>
      <c r="BM166" s="549"/>
      <c r="BN166" s="549"/>
      <c r="BO166" s="549"/>
      <c r="BP166" s="549"/>
      <c r="BQ166" s="549"/>
      <c r="BR166" s="549"/>
      <c r="BS166" s="549"/>
      <c r="BT166" s="549"/>
      <c r="BU166" s="549"/>
      <c r="BV166" s="549"/>
      <c r="BW166" s="549"/>
      <c r="BX166" s="549"/>
      <c r="BY166" s="549"/>
      <c r="BZ166" s="549"/>
      <c r="CA166" s="549"/>
    </row>
    <row r="167" spans="1:79" ht="15.75" customHeight="1">
      <c r="A167" s="614"/>
      <c r="B167" s="549"/>
      <c r="C167" s="549"/>
      <c r="D167" s="549"/>
      <c r="E167" s="549"/>
      <c r="F167" s="549"/>
      <c r="G167" s="549"/>
      <c r="H167" s="549"/>
      <c r="I167" s="549"/>
      <c r="J167" s="549"/>
      <c r="K167" s="549"/>
      <c r="L167" s="549"/>
      <c r="M167" s="549"/>
      <c r="N167" s="549"/>
      <c r="O167" s="549"/>
      <c r="P167" s="549"/>
      <c r="Q167" s="549"/>
      <c r="R167" s="549"/>
      <c r="S167" s="549"/>
      <c r="T167" s="549"/>
      <c r="U167" s="549"/>
      <c r="V167" s="549"/>
      <c r="W167" s="549"/>
      <c r="X167" s="549"/>
      <c r="Y167" s="549"/>
      <c r="Z167" s="549"/>
      <c r="AA167" s="549"/>
      <c r="AB167" s="549"/>
      <c r="AC167" s="549"/>
      <c r="AD167" s="549"/>
      <c r="AE167" s="549"/>
      <c r="AF167" s="549"/>
      <c r="AG167" s="549"/>
      <c r="AH167" s="549"/>
      <c r="AI167" s="549"/>
      <c r="AJ167" s="549"/>
      <c r="AK167" s="549"/>
      <c r="AL167" s="549"/>
      <c r="AM167" s="549"/>
      <c r="AN167" s="549"/>
      <c r="AO167" s="549"/>
      <c r="AP167" s="549"/>
      <c r="AQ167" s="549"/>
      <c r="AR167" s="549"/>
      <c r="AS167" s="549"/>
      <c r="AT167" s="549"/>
      <c r="AU167" s="549"/>
      <c r="AV167" s="549"/>
      <c r="AW167" s="549"/>
      <c r="AX167" s="549"/>
      <c r="AY167" s="549"/>
      <c r="AZ167" s="549"/>
      <c r="BA167" s="549"/>
      <c r="BB167" s="549"/>
      <c r="BC167" s="549"/>
      <c r="BD167" s="549"/>
      <c r="BE167" s="549"/>
      <c r="BF167" s="549"/>
      <c r="BG167" s="549"/>
      <c r="BH167" s="549"/>
      <c r="BI167" s="549"/>
      <c r="BJ167" s="549"/>
      <c r="BK167" s="549"/>
      <c r="BL167" s="549"/>
      <c r="BM167" s="549"/>
      <c r="BN167" s="549"/>
      <c r="BO167" s="549"/>
      <c r="BP167" s="549"/>
      <c r="BQ167" s="549"/>
      <c r="BR167" s="549"/>
      <c r="BS167" s="549"/>
      <c r="BT167" s="549"/>
      <c r="BU167" s="549"/>
      <c r="BV167" s="549"/>
      <c r="BW167" s="549"/>
      <c r="BX167" s="549"/>
      <c r="BY167" s="549"/>
      <c r="BZ167" s="549"/>
      <c r="CA167" s="549"/>
    </row>
    <row r="168" spans="1:79" ht="15.75" customHeight="1">
      <c r="A168" s="614"/>
      <c r="B168" s="549"/>
      <c r="C168" s="549"/>
      <c r="D168" s="549"/>
      <c r="E168" s="549"/>
      <c r="F168" s="549"/>
      <c r="G168" s="549"/>
      <c r="H168" s="549"/>
      <c r="I168" s="549"/>
      <c r="J168" s="549"/>
      <c r="K168" s="549"/>
      <c r="L168" s="549"/>
      <c r="M168" s="549"/>
      <c r="N168" s="549"/>
      <c r="O168" s="549"/>
      <c r="P168" s="549"/>
      <c r="Q168" s="549"/>
      <c r="R168" s="549"/>
      <c r="S168" s="549"/>
      <c r="T168" s="549"/>
      <c r="U168" s="549"/>
      <c r="V168" s="549"/>
      <c r="W168" s="549"/>
      <c r="X168" s="549"/>
      <c r="Y168" s="549"/>
      <c r="Z168" s="549"/>
      <c r="AA168" s="549"/>
      <c r="AB168" s="549"/>
      <c r="AC168" s="549"/>
      <c r="AD168" s="549"/>
      <c r="AE168" s="549"/>
      <c r="AF168" s="549"/>
      <c r="AG168" s="549"/>
      <c r="AH168" s="549"/>
      <c r="AI168" s="549"/>
      <c r="AJ168" s="549"/>
      <c r="AK168" s="549"/>
      <c r="AL168" s="549"/>
      <c r="AM168" s="549"/>
      <c r="AN168" s="549"/>
      <c r="AO168" s="549"/>
      <c r="AP168" s="549"/>
      <c r="AQ168" s="549"/>
      <c r="AR168" s="549"/>
      <c r="AS168" s="549"/>
      <c r="AT168" s="549"/>
      <c r="AU168" s="549"/>
      <c r="AV168" s="549"/>
      <c r="AW168" s="549"/>
      <c r="AX168" s="549"/>
      <c r="AY168" s="549"/>
      <c r="AZ168" s="549"/>
      <c r="BA168" s="549"/>
      <c r="BB168" s="549"/>
      <c r="BC168" s="549"/>
      <c r="BD168" s="549"/>
      <c r="BE168" s="549"/>
      <c r="BF168" s="549"/>
      <c r="BG168" s="549"/>
      <c r="BH168" s="549"/>
      <c r="BI168" s="549"/>
      <c r="BJ168" s="549"/>
      <c r="BK168" s="549"/>
      <c r="BL168" s="549"/>
      <c r="BM168" s="549"/>
      <c r="BN168" s="549"/>
      <c r="BO168" s="549"/>
      <c r="BP168" s="549"/>
      <c r="BQ168" s="549"/>
      <c r="BR168" s="549"/>
      <c r="BS168" s="549"/>
      <c r="BT168" s="549"/>
      <c r="BU168" s="549"/>
      <c r="BV168" s="549"/>
      <c r="BW168" s="549"/>
      <c r="BX168" s="549"/>
      <c r="BY168" s="549"/>
      <c r="BZ168" s="549"/>
      <c r="CA168" s="549"/>
    </row>
    <row r="169" spans="1:79" ht="15.75" customHeight="1">
      <c r="A169" s="614"/>
      <c r="B169" s="549"/>
      <c r="C169" s="549"/>
      <c r="D169" s="549"/>
      <c r="E169" s="549"/>
      <c r="F169" s="549"/>
      <c r="G169" s="549"/>
      <c r="H169" s="549"/>
      <c r="I169" s="549"/>
      <c r="J169" s="549"/>
      <c r="K169" s="549"/>
      <c r="L169" s="549"/>
      <c r="M169" s="549"/>
      <c r="N169" s="549"/>
      <c r="O169" s="549"/>
      <c r="P169" s="549"/>
      <c r="Q169" s="549"/>
      <c r="R169" s="549"/>
      <c r="S169" s="549"/>
      <c r="T169" s="549"/>
      <c r="U169" s="549"/>
      <c r="V169" s="549"/>
      <c r="W169" s="549"/>
      <c r="X169" s="549"/>
      <c r="Y169" s="549"/>
      <c r="Z169" s="549"/>
      <c r="AA169" s="549"/>
      <c r="AB169" s="549"/>
      <c r="AC169" s="549"/>
      <c r="AD169" s="549"/>
      <c r="AE169" s="549"/>
      <c r="AF169" s="549"/>
      <c r="AG169" s="549"/>
      <c r="AH169" s="549"/>
      <c r="AI169" s="549"/>
      <c r="AJ169" s="549"/>
      <c r="AK169" s="549"/>
      <c r="AL169" s="549"/>
      <c r="AM169" s="549"/>
      <c r="AN169" s="549"/>
      <c r="AO169" s="549"/>
      <c r="AP169" s="549"/>
      <c r="AQ169" s="549"/>
      <c r="AR169" s="549"/>
      <c r="AS169" s="549"/>
      <c r="AT169" s="549"/>
      <c r="AU169" s="549"/>
      <c r="AV169" s="549"/>
      <c r="AW169" s="549"/>
      <c r="AX169" s="549"/>
      <c r="AY169" s="549"/>
      <c r="AZ169" s="549"/>
      <c r="BA169" s="549"/>
      <c r="BB169" s="549"/>
      <c r="BC169" s="549"/>
      <c r="BD169" s="549"/>
      <c r="BE169" s="549"/>
      <c r="BF169" s="549"/>
      <c r="BG169" s="549"/>
      <c r="BH169" s="549"/>
      <c r="BI169" s="549"/>
      <c r="BJ169" s="549"/>
      <c r="BK169" s="549"/>
      <c r="BL169" s="549"/>
      <c r="BM169" s="549"/>
      <c r="BN169" s="549"/>
      <c r="BO169" s="549"/>
      <c r="BP169" s="549"/>
      <c r="BQ169" s="549"/>
      <c r="BR169" s="549"/>
      <c r="BS169" s="549"/>
      <c r="BT169" s="549"/>
      <c r="BU169" s="549"/>
      <c r="BV169" s="549"/>
      <c r="BW169" s="549"/>
      <c r="BX169" s="549"/>
      <c r="BY169" s="549"/>
      <c r="BZ169" s="549"/>
      <c r="CA169" s="549"/>
    </row>
    <row r="170" spans="1:79" ht="15.75" customHeight="1">
      <c r="A170" s="614"/>
      <c r="B170" s="549"/>
      <c r="C170" s="549"/>
      <c r="D170" s="549"/>
      <c r="E170" s="549"/>
      <c r="F170" s="549"/>
      <c r="G170" s="549"/>
      <c r="H170" s="549"/>
      <c r="I170" s="549"/>
      <c r="J170" s="549"/>
      <c r="K170" s="549"/>
      <c r="L170" s="549"/>
      <c r="M170" s="549"/>
      <c r="N170" s="549"/>
      <c r="O170" s="549"/>
      <c r="P170" s="549"/>
      <c r="Q170" s="549"/>
      <c r="R170" s="549"/>
      <c r="S170" s="549"/>
      <c r="T170" s="549"/>
      <c r="U170" s="549"/>
      <c r="V170" s="549"/>
      <c r="W170" s="549"/>
      <c r="X170" s="549"/>
      <c r="Y170" s="549"/>
      <c r="Z170" s="549"/>
      <c r="AA170" s="549"/>
      <c r="AB170" s="549"/>
      <c r="AC170" s="549"/>
      <c r="AD170" s="549"/>
      <c r="AE170" s="549"/>
      <c r="AF170" s="549"/>
      <c r="AG170" s="549"/>
      <c r="AH170" s="549"/>
      <c r="AI170" s="549"/>
      <c r="AJ170" s="549"/>
      <c r="AK170" s="549"/>
      <c r="AL170" s="549"/>
      <c r="AM170" s="549"/>
      <c r="AN170" s="549"/>
      <c r="AO170" s="549"/>
      <c r="AP170" s="549"/>
      <c r="AQ170" s="549"/>
      <c r="AR170" s="549"/>
      <c r="AS170" s="549"/>
      <c r="AT170" s="549"/>
      <c r="AU170" s="549"/>
      <c r="AV170" s="549"/>
      <c r="AW170" s="549"/>
      <c r="AX170" s="549"/>
      <c r="AY170" s="549"/>
      <c r="AZ170" s="549"/>
      <c r="BA170" s="549"/>
      <c r="BB170" s="549"/>
      <c r="BC170" s="549"/>
      <c r="BD170" s="549"/>
      <c r="BE170" s="549"/>
      <c r="BF170" s="549"/>
      <c r="BG170" s="549"/>
      <c r="BH170" s="549"/>
      <c r="BI170" s="549"/>
      <c r="BJ170" s="549"/>
      <c r="BK170" s="549"/>
      <c r="BL170" s="549"/>
      <c r="BM170" s="549"/>
      <c r="BN170" s="549"/>
      <c r="BO170" s="549"/>
      <c r="BP170" s="549"/>
      <c r="BQ170" s="549"/>
      <c r="BR170" s="549"/>
      <c r="BS170" s="549"/>
      <c r="BT170" s="549"/>
      <c r="BU170" s="549"/>
      <c r="BV170" s="549"/>
      <c r="BW170" s="549"/>
      <c r="BX170" s="549"/>
      <c r="BY170" s="549"/>
      <c r="BZ170" s="549"/>
      <c r="CA170" s="549"/>
    </row>
    <row r="171" spans="1:79" ht="15.75" customHeight="1">
      <c r="A171" s="614"/>
      <c r="B171" s="549"/>
      <c r="C171" s="549"/>
      <c r="D171" s="549"/>
      <c r="E171" s="549"/>
      <c r="F171" s="549"/>
      <c r="G171" s="549"/>
      <c r="H171" s="549"/>
      <c r="I171" s="549"/>
      <c r="J171" s="549"/>
      <c r="K171" s="549"/>
      <c r="L171" s="549"/>
      <c r="M171" s="549"/>
      <c r="N171" s="549"/>
      <c r="O171" s="549"/>
      <c r="P171" s="549"/>
      <c r="Q171" s="549"/>
      <c r="R171" s="549"/>
      <c r="S171" s="549"/>
      <c r="T171" s="549"/>
      <c r="U171" s="549"/>
      <c r="V171" s="549"/>
      <c r="W171" s="549"/>
      <c r="X171" s="549"/>
      <c r="Y171" s="549"/>
      <c r="Z171" s="549"/>
      <c r="AA171" s="549"/>
      <c r="AB171" s="549"/>
      <c r="AC171" s="549"/>
      <c r="AD171" s="549"/>
      <c r="AE171" s="549"/>
      <c r="AF171" s="549"/>
      <c r="AG171" s="549"/>
      <c r="AH171" s="549"/>
      <c r="AI171" s="549"/>
      <c r="AJ171" s="549"/>
      <c r="AK171" s="549"/>
      <c r="AL171" s="549"/>
      <c r="AM171" s="549"/>
      <c r="AN171" s="549"/>
      <c r="AO171" s="549"/>
      <c r="AP171" s="549"/>
      <c r="AQ171" s="549"/>
      <c r="AR171" s="549"/>
      <c r="AS171" s="549"/>
      <c r="AT171" s="549"/>
      <c r="AU171" s="549"/>
      <c r="AV171" s="549"/>
      <c r="AW171" s="549"/>
      <c r="AX171" s="549"/>
      <c r="AY171" s="549"/>
      <c r="AZ171" s="549"/>
      <c r="BA171" s="549"/>
      <c r="BB171" s="549"/>
      <c r="BC171" s="549"/>
      <c r="BD171" s="549"/>
      <c r="BE171" s="549"/>
      <c r="BF171" s="549"/>
      <c r="BG171" s="549"/>
      <c r="BH171" s="549"/>
      <c r="BI171" s="549"/>
      <c r="BJ171" s="549"/>
      <c r="BK171" s="549"/>
      <c r="BL171" s="549"/>
      <c r="BM171" s="549"/>
      <c r="BN171" s="549"/>
      <c r="BO171" s="549"/>
      <c r="BP171" s="549"/>
      <c r="BQ171" s="549"/>
      <c r="BR171" s="549"/>
      <c r="BS171" s="549"/>
      <c r="BT171" s="549"/>
      <c r="BU171" s="549"/>
      <c r="BV171" s="549"/>
      <c r="BW171" s="549"/>
      <c r="BX171" s="549"/>
      <c r="BY171" s="549"/>
      <c r="BZ171" s="549"/>
      <c r="CA171" s="549"/>
    </row>
    <row r="172" spans="1:79" ht="15.75" customHeight="1">
      <c r="A172" s="614"/>
      <c r="B172" s="549"/>
      <c r="C172" s="549"/>
      <c r="D172" s="549"/>
      <c r="E172" s="549"/>
      <c r="F172" s="549"/>
      <c r="G172" s="549"/>
      <c r="H172" s="549"/>
      <c r="I172" s="549"/>
      <c r="J172" s="549"/>
      <c r="K172" s="549"/>
      <c r="L172" s="549"/>
      <c r="M172" s="549"/>
      <c r="N172" s="549"/>
      <c r="O172" s="549"/>
      <c r="P172" s="549"/>
      <c r="Q172" s="549"/>
      <c r="R172" s="549"/>
      <c r="S172" s="549"/>
      <c r="T172" s="549"/>
      <c r="U172" s="549"/>
      <c r="V172" s="549"/>
      <c r="W172" s="549"/>
      <c r="X172" s="549"/>
      <c r="Y172" s="549"/>
      <c r="Z172" s="549"/>
      <c r="AA172" s="549"/>
      <c r="AB172" s="549"/>
      <c r="AC172" s="549"/>
      <c r="AD172" s="549"/>
      <c r="AE172" s="549"/>
      <c r="AF172" s="549"/>
      <c r="AG172" s="549"/>
      <c r="AH172" s="549"/>
      <c r="AI172" s="549"/>
      <c r="AJ172" s="549"/>
      <c r="AK172" s="549"/>
      <c r="AL172" s="549"/>
      <c r="AM172" s="549"/>
      <c r="AN172" s="549"/>
      <c r="AO172" s="549"/>
      <c r="AP172" s="549"/>
      <c r="AQ172" s="549"/>
      <c r="AR172" s="549"/>
      <c r="AS172" s="549"/>
      <c r="AT172" s="549"/>
      <c r="AU172" s="549"/>
      <c r="AV172" s="549"/>
      <c r="AW172" s="549"/>
      <c r="AX172" s="549"/>
      <c r="AY172" s="549"/>
      <c r="AZ172" s="549"/>
      <c r="BA172" s="549"/>
      <c r="BB172" s="549"/>
      <c r="BC172" s="549"/>
      <c r="BD172" s="549"/>
      <c r="BE172" s="549"/>
      <c r="BF172" s="549"/>
      <c r="BG172" s="549"/>
      <c r="BH172" s="549"/>
      <c r="BI172" s="549"/>
      <c r="BJ172" s="549"/>
      <c r="BK172" s="549"/>
      <c r="BL172" s="549"/>
      <c r="BM172" s="549"/>
      <c r="BN172" s="549"/>
      <c r="BO172" s="549"/>
      <c r="BP172" s="549"/>
      <c r="BQ172" s="549"/>
      <c r="BR172" s="549"/>
      <c r="BS172" s="549"/>
      <c r="BT172" s="549"/>
      <c r="BU172" s="549"/>
      <c r="BV172" s="549"/>
      <c r="BW172" s="549"/>
      <c r="BX172" s="549"/>
      <c r="BY172" s="549"/>
      <c r="BZ172" s="549"/>
      <c r="CA172" s="549"/>
    </row>
    <row r="173" spans="1:79" ht="15.75" customHeight="1">
      <c r="A173" s="614"/>
      <c r="B173" s="549"/>
      <c r="C173" s="549"/>
      <c r="D173" s="549"/>
      <c r="E173" s="549"/>
      <c r="F173" s="549"/>
      <c r="G173" s="549"/>
      <c r="H173" s="549"/>
      <c r="I173" s="549"/>
      <c r="J173" s="549"/>
      <c r="K173" s="549"/>
      <c r="L173" s="549"/>
      <c r="M173" s="549"/>
      <c r="N173" s="549"/>
      <c r="O173" s="549"/>
      <c r="P173" s="549"/>
      <c r="Q173" s="549"/>
      <c r="R173" s="549"/>
      <c r="S173" s="549"/>
      <c r="T173" s="549"/>
      <c r="U173" s="549"/>
      <c r="V173" s="549"/>
      <c r="W173" s="549"/>
      <c r="X173" s="549"/>
      <c r="Y173" s="549"/>
      <c r="Z173" s="549"/>
      <c r="AA173" s="549"/>
      <c r="AB173" s="549"/>
      <c r="AC173" s="549"/>
      <c r="AD173" s="549"/>
      <c r="AE173" s="549"/>
      <c r="AF173" s="549"/>
      <c r="AG173" s="549"/>
      <c r="AH173" s="549"/>
      <c r="AI173" s="549"/>
      <c r="AJ173" s="549"/>
      <c r="AK173" s="549"/>
      <c r="AL173" s="549"/>
      <c r="AM173" s="549"/>
      <c r="AN173" s="549"/>
      <c r="AO173" s="549"/>
      <c r="AP173" s="549"/>
      <c r="AQ173" s="549"/>
      <c r="AR173" s="549"/>
      <c r="AS173" s="549"/>
      <c r="AT173" s="549"/>
      <c r="AU173" s="549"/>
      <c r="AV173" s="549"/>
      <c r="AW173" s="549"/>
      <c r="AX173" s="549"/>
      <c r="AY173" s="549"/>
      <c r="AZ173" s="549"/>
      <c r="BA173" s="549"/>
      <c r="BB173" s="549"/>
      <c r="BC173" s="549"/>
      <c r="BD173" s="549"/>
      <c r="BE173" s="549"/>
      <c r="BF173" s="549"/>
      <c r="BG173" s="549"/>
      <c r="BH173" s="549"/>
      <c r="BI173" s="549"/>
      <c r="BJ173" s="549"/>
      <c r="BK173" s="549"/>
      <c r="BL173" s="549"/>
      <c r="BM173" s="549"/>
      <c r="BN173" s="549"/>
      <c r="BO173" s="549"/>
      <c r="BP173" s="549"/>
      <c r="BQ173" s="549"/>
      <c r="BR173" s="549"/>
      <c r="BS173" s="549"/>
      <c r="BT173" s="549"/>
      <c r="BU173" s="549"/>
      <c r="BV173" s="549"/>
      <c r="BW173" s="549"/>
      <c r="BX173" s="549"/>
      <c r="BY173" s="549"/>
      <c r="BZ173" s="549"/>
      <c r="CA173" s="549"/>
    </row>
    <row r="174" spans="1:79" ht="15.75" customHeight="1">
      <c r="A174" s="614"/>
      <c r="B174" s="549"/>
      <c r="C174" s="549"/>
      <c r="D174" s="549"/>
      <c r="E174" s="549"/>
      <c r="F174" s="549"/>
      <c r="G174" s="549"/>
      <c r="H174" s="549"/>
      <c r="I174" s="549"/>
      <c r="J174" s="549"/>
      <c r="K174" s="549"/>
      <c r="L174" s="549"/>
      <c r="M174" s="549"/>
      <c r="N174" s="549"/>
      <c r="O174" s="549"/>
      <c r="P174" s="549"/>
      <c r="Q174" s="549"/>
      <c r="R174" s="549"/>
      <c r="S174" s="549"/>
      <c r="T174" s="549"/>
      <c r="U174" s="549"/>
      <c r="V174" s="549"/>
      <c r="W174" s="549"/>
      <c r="X174" s="549"/>
      <c r="Y174" s="549"/>
      <c r="Z174" s="549"/>
      <c r="AA174" s="549"/>
      <c r="AB174" s="549"/>
      <c r="AC174" s="549"/>
      <c r="AD174" s="549"/>
      <c r="AE174" s="549"/>
      <c r="AF174" s="549"/>
      <c r="AG174" s="549"/>
      <c r="AH174" s="549"/>
      <c r="AI174" s="549"/>
      <c r="AJ174" s="549"/>
      <c r="AK174" s="549"/>
      <c r="AL174" s="549"/>
      <c r="AM174" s="549"/>
      <c r="AN174" s="549"/>
      <c r="AO174" s="549"/>
      <c r="AP174" s="549"/>
      <c r="AQ174" s="549"/>
      <c r="AR174" s="549"/>
      <c r="AS174" s="549"/>
      <c r="AT174" s="549"/>
      <c r="AU174" s="549"/>
      <c r="AV174" s="549"/>
      <c r="AW174" s="549"/>
      <c r="AX174" s="549"/>
      <c r="AY174" s="549"/>
      <c r="AZ174" s="549"/>
      <c r="BA174" s="549"/>
      <c r="BB174" s="549"/>
      <c r="BC174" s="549"/>
      <c r="BD174" s="549"/>
      <c r="BE174" s="549"/>
      <c r="BF174" s="549"/>
      <c r="BG174" s="549"/>
      <c r="BH174" s="549"/>
      <c r="BI174" s="549"/>
      <c r="BJ174" s="549"/>
      <c r="BK174" s="549"/>
      <c r="BL174" s="549"/>
      <c r="BM174" s="549"/>
      <c r="BN174" s="549"/>
      <c r="BO174" s="549"/>
      <c r="BP174" s="549"/>
      <c r="BQ174" s="549"/>
      <c r="BR174" s="549"/>
      <c r="BS174" s="549"/>
      <c r="BT174" s="549"/>
      <c r="BU174" s="549"/>
      <c r="BV174" s="549"/>
      <c r="BW174" s="549"/>
      <c r="BX174" s="549"/>
      <c r="BY174" s="549"/>
      <c r="BZ174" s="549"/>
      <c r="CA174" s="549"/>
    </row>
    <row r="175" spans="1:79" ht="15.75" customHeight="1">
      <c r="A175" s="614"/>
      <c r="B175" s="549"/>
      <c r="C175" s="549"/>
      <c r="D175" s="549"/>
      <c r="E175" s="549"/>
      <c r="F175" s="549"/>
      <c r="G175" s="549"/>
      <c r="H175" s="549"/>
      <c r="I175" s="549"/>
      <c r="J175" s="549"/>
      <c r="K175" s="549"/>
      <c r="L175" s="549"/>
      <c r="M175" s="549"/>
      <c r="N175" s="549"/>
      <c r="O175" s="549"/>
      <c r="P175" s="549"/>
      <c r="Q175" s="549"/>
      <c r="R175" s="549"/>
      <c r="S175" s="549"/>
      <c r="T175" s="549"/>
      <c r="U175" s="549"/>
      <c r="V175" s="549"/>
      <c r="W175" s="549"/>
      <c r="X175" s="549"/>
      <c r="Y175" s="549"/>
      <c r="Z175" s="549"/>
      <c r="AA175" s="549"/>
      <c r="AB175" s="549"/>
      <c r="AC175" s="549"/>
      <c r="AD175" s="549"/>
      <c r="AE175" s="549"/>
      <c r="AF175" s="549"/>
      <c r="AG175" s="549"/>
      <c r="AH175" s="549"/>
      <c r="AI175" s="549"/>
      <c r="AJ175" s="549"/>
      <c r="AK175" s="549"/>
      <c r="AL175" s="549"/>
      <c r="AM175" s="549"/>
      <c r="AN175" s="549"/>
      <c r="AO175" s="549"/>
      <c r="AP175" s="549"/>
      <c r="AQ175" s="549"/>
      <c r="AR175" s="549"/>
      <c r="AS175" s="549"/>
      <c r="AT175" s="549"/>
      <c r="AU175" s="549"/>
      <c r="AV175" s="549"/>
      <c r="AW175" s="549"/>
      <c r="AX175" s="549"/>
      <c r="AY175" s="549"/>
      <c r="AZ175" s="549"/>
      <c r="BA175" s="549"/>
      <c r="BB175" s="549"/>
      <c r="BC175" s="549"/>
      <c r="BD175" s="549"/>
      <c r="BE175" s="549"/>
      <c r="BF175" s="549"/>
      <c r="BG175" s="549"/>
      <c r="BH175" s="549"/>
      <c r="BI175" s="549"/>
      <c r="BJ175" s="549"/>
      <c r="BK175" s="549"/>
      <c r="BL175" s="549"/>
      <c r="BM175" s="549"/>
      <c r="BN175" s="549"/>
      <c r="BO175" s="549"/>
      <c r="BP175" s="549"/>
      <c r="BQ175" s="549"/>
      <c r="BR175" s="549"/>
      <c r="BS175" s="549"/>
      <c r="BT175" s="549"/>
      <c r="BU175" s="549"/>
      <c r="BV175" s="549"/>
      <c r="BW175" s="549"/>
      <c r="BX175" s="549"/>
      <c r="BY175" s="549"/>
      <c r="BZ175" s="549"/>
      <c r="CA175" s="549"/>
    </row>
    <row r="176" spans="1:79" ht="15.75" customHeight="1">
      <c r="A176" s="614"/>
      <c r="B176" s="549"/>
      <c r="C176" s="549"/>
      <c r="D176" s="549"/>
      <c r="E176" s="549"/>
      <c r="F176" s="549"/>
      <c r="G176" s="549"/>
      <c r="H176" s="549"/>
      <c r="I176" s="549"/>
      <c r="J176" s="549"/>
      <c r="K176" s="549"/>
      <c r="L176" s="549"/>
      <c r="M176" s="549"/>
      <c r="N176" s="549"/>
      <c r="O176" s="549"/>
      <c r="P176" s="549"/>
      <c r="Q176" s="549"/>
      <c r="R176" s="549"/>
      <c r="S176" s="549"/>
      <c r="T176" s="549"/>
      <c r="U176" s="549"/>
      <c r="V176" s="549"/>
      <c r="W176" s="549"/>
      <c r="X176" s="549"/>
      <c r="Y176" s="549"/>
      <c r="Z176" s="549"/>
      <c r="AA176" s="549"/>
      <c r="AB176" s="549"/>
      <c r="AC176" s="549"/>
      <c r="AD176" s="549"/>
      <c r="AE176" s="549"/>
      <c r="AF176" s="549"/>
      <c r="AG176" s="549"/>
      <c r="AH176" s="549"/>
      <c r="AI176" s="549"/>
      <c r="AJ176" s="549"/>
      <c r="AK176" s="549"/>
      <c r="AL176" s="549"/>
      <c r="AM176" s="549"/>
      <c r="AN176" s="549"/>
      <c r="AO176" s="549"/>
      <c r="AP176" s="549"/>
      <c r="AQ176" s="549"/>
      <c r="AR176" s="549"/>
      <c r="AS176" s="549"/>
      <c r="AT176" s="549"/>
      <c r="AU176" s="549"/>
      <c r="AV176" s="549"/>
      <c r="AW176" s="549"/>
      <c r="AX176" s="549"/>
      <c r="AY176" s="549"/>
      <c r="AZ176" s="549"/>
      <c r="BA176" s="549"/>
      <c r="BB176" s="549"/>
      <c r="BC176" s="549"/>
      <c r="BD176" s="549"/>
      <c r="BE176" s="549"/>
      <c r="BF176" s="549"/>
      <c r="BG176" s="549"/>
      <c r="BH176" s="549"/>
      <c r="BI176" s="549"/>
      <c r="BJ176" s="549"/>
      <c r="BK176" s="549"/>
      <c r="BL176" s="549"/>
      <c r="BM176" s="549"/>
      <c r="BN176" s="549"/>
      <c r="BO176" s="549"/>
      <c r="BP176" s="549"/>
      <c r="BQ176" s="549"/>
      <c r="BR176" s="549"/>
      <c r="BS176" s="549"/>
      <c r="BT176" s="549"/>
      <c r="BU176" s="549"/>
      <c r="BV176" s="549"/>
      <c r="BW176" s="549"/>
      <c r="BX176" s="549"/>
      <c r="BY176" s="549"/>
      <c r="BZ176" s="549"/>
      <c r="CA176" s="549"/>
    </row>
    <row r="177" spans="1:79" ht="15.75" customHeight="1">
      <c r="A177" s="614"/>
      <c r="B177" s="549"/>
      <c r="C177" s="549"/>
      <c r="D177" s="549"/>
      <c r="E177" s="549"/>
      <c r="F177" s="549"/>
      <c r="G177" s="549"/>
      <c r="H177" s="549"/>
      <c r="I177" s="549"/>
      <c r="J177" s="549"/>
      <c r="K177" s="549"/>
      <c r="L177" s="549"/>
      <c r="M177" s="549"/>
      <c r="N177" s="549"/>
      <c r="O177" s="549"/>
      <c r="P177" s="549"/>
      <c r="Q177" s="549"/>
      <c r="R177" s="549"/>
      <c r="S177" s="549"/>
      <c r="T177" s="549"/>
      <c r="U177" s="549"/>
      <c r="V177" s="549"/>
      <c r="W177" s="549"/>
      <c r="X177" s="549"/>
      <c r="Y177" s="549"/>
      <c r="Z177" s="549"/>
      <c r="AA177" s="549"/>
      <c r="AB177" s="549"/>
      <c r="AC177" s="549"/>
      <c r="AD177" s="549"/>
      <c r="AE177" s="549"/>
      <c r="AF177" s="549"/>
      <c r="AG177" s="549"/>
      <c r="AH177" s="549"/>
      <c r="AI177" s="549"/>
      <c r="AJ177" s="549"/>
      <c r="AK177" s="549"/>
      <c r="AL177" s="549"/>
      <c r="AM177" s="549"/>
      <c r="AN177" s="549"/>
      <c r="AO177" s="549"/>
      <c r="AP177" s="549"/>
      <c r="AQ177" s="549"/>
      <c r="AR177" s="549"/>
      <c r="AS177" s="549"/>
      <c r="AT177" s="549"/>
      <c r="AU177" s="549"/>
      <c r="AV177" s="549"/>
      <c r="AW177" s="549"/>
      <c r="AX177" s="549"/>
      <c r="AY177" s="549"/>
      <c r="AZ177" s="549"/>
      <c r="BA177" s="549"/>
      <c r="BB177" s="549"/>
      <c r="BC177" s="549"/>
      <c r="BD177" s="549"/>
      <c r="BE177" s="549"/>
      <c r="BF177" s="549"/>
      <c r="BG177" s="549"/>
      <c r="BH177" s="549"/>
      <c r="BI177" s="549"/>
      <c r="BJ177" s="549"/>
      <c r="BK177" s="549"/>
      <c r="BL177" s="549"/>
      <c r="BM177" s="549"/>
      <c r="BN177" s="549"/>
      <c r="BO177" s="549"/>
      <c r="BP177" s="549"/>
      <c r="BQ177" s="549"/>
      <c r="BR177" s="549"/>
      <c r="BS177" s="549"/>
      <c r="BT177" s="549"/>
      <c r="BU177" s="549"/>
      <c r="BV177" s="549"/>
      <c r="BW177" s="549"/>
      <c r="BX177" s="549"/>
      <c r="BY177" s="549"/>
      <c r="BZ177" s="549"/>
      <c r="CA177" s="549"/>
    </row>
    <row r="178" spans="1:79" ht="15.75" customHeight="1">
      <c r="A178" s="614"/>
      <c r="B178" s="549"/>
      <c r="C178" s="549"/>
      <c r="D178" s="549"/>
      <c r="E178" s="549"/>
      <c r="F178" s="549"/>
      <c r="G178" s="549"/>
      <c r="H178" s="549"/>
      <c r="I178" s="549"/>
      <c r="J178" s="549"/>
      <c r="K178" s="549"/>
      <c r="L178" s="549"/>
      <c r="M178" s="549"/>
      <c r="N178" s="549"/>
      <c r="O178" s="549"/>
      <c r="P178" s="549"/>
      <c r="Q178" s="549"/>
      <c r="R178" s="549"/>
      <c r="S178" s="549"/>
      <c r="T178" s="549"/>
      <c r="U178" s="549"/>
      <c r="V178" s="549"/>
      <c r="W178" s="549"/>
      <c r="X178" s="549"/>
      <c r="Y178" s="549"/>
      <c r="Z178" s="549"/>
      <c r="AA178" s="549"/>
      <c r="AB178" s="549"/>
      <c r="AC178" s="549"/>
      <c r="AD178" s="549"/>
      <c r="AE178" s="549"/>
      <c r="AF178" s="549"/>
      <c r="AG178" s="549"/>
      <c r="AH178" s="549"/>
      <c r="AI178" s="549"/>
      <c r="AJ178" s="549"/>
      <c r="AK178" s="549"/>
      <c r="AL178" s="549"/>
      <c r="AM178" s="549"/>
      <c r="AN178" s="549"/>
      <c r="AO178" s="549"/>
      <c r="AP178" s="549"/>
      <c r="AQ178" s="549"/>
      <c r="AR178" s="549"/>
      <c r="AS178" s="549"/>
      <c r="AT178" s="549"/>
      <c r="AU178" s="549"/>
      <c r="AV178" s="549"/>
      <c r="AW178" s="549"/>
      <c r="AX178" s="549"/>
      <c r="AY178" s="549"/>
      <c r="AZ178" s="549"/>
      <c r="BA178" s="549"/>
      <c r="BB178" s="549"/>
      <c r="BC178" s="549"/>
      <c r="BD178" s="549"/>
      <c r="BE178" s="549"/>
      <c r="BF178" s="549"/>
      <c r="BG178" s="549"/>
      <c r="BH178" s="549"/>
      <c r="BI178" s="549"/>
      <c r="BJ178" s="549"/>
      <c r="BK178" s="549"/>
      <c r="BL178" s="549"/>
      <c r="BM178" s="549"/>
      <c r="BN178" s="549"/>
      <c r="BO178" s="549"/>
      <c r="BP178" s="549"/>
      <c r="BQ178" s="549"/>
      <c r="BR178" s="549"/>
      <c r="BS178" s="549"/>
      <c r="BT178" s="549"/>
      <c r="BU178" s="549"/>
      <c r="BV178" s="549"/>
      <c r="BW178" s="549"/>
      <c r="BX178" s="549"/>
      <c r="BY178" s="549"/>
      <c r="BZ178" s="549"/>
      <c r="CA178" s="549"/>
    </row>
    <row r="179" spans="1:79" ht="15.75" customHeight="1">
      <c r="A179" s="614"/>
      <c r="B179" s="549"/>
      <c r="C179" s="549"/>
      <c r="D179" s="549"/>
      <c r="E179" s="549"/>
      <c r="F179" s="549"/>
      <c r="G179" s="549"/>
      <c r="H179" s="549"/>
      <c r="I179" s="549"/>
      <c r="J179" s="549"/>
      <c r="K179" s="549"/>
      <c r="L179" s="549"/>
      <c r="M179" s="549"/>
      <c r="N179" s="549"/>
      <c r="O179" s="549"/>
      <c r="P179" s="549"/>
      <c r="Q179" s="549"/>
      <c r="R179" s="549"/>
      <c r="S179" s="549"/>
      <c r="T179" s="549"/>
      <c r="U179" s="549"/>
      <c r="V179" s="549"/>
      <c r="W179" s="549"/>
      <c r="X179" s="549"/>
      <c r="Y179" s="549"/>
      <c r="Z179" s="549"/>
      <c r="AA179" s="549"/>
      <c r="AB179" s="549"/>
      <c r="AC179" s="549"/>
      <c r="AD179" s="549"/>
      <c r="AE179" s="549"/>
      <c r="AF179" s="549"/>
      <c r="AG179" s="549"/>
      <c r="AH179" s="549"/>
      <c r="AI179" s="549"/>
      <c r="AJ179" s="549"/>
      <c r="AK179" s="549"/>
      <c r="AL179" s="549"/>
      <c r="AM179" s="549"/>
      <c r="AN179" s="549"/>
      <c r="AO179" s="549"/>
      <c r="AP179" s="549"/>
      <c r="AQ179" s="549"/>
      <c r="AR179" s="549"/>
      <c r="AS179" s="549"/>
      <c r="AT179" s="549"/>
      <c r="AU179" s="549"/>
      <c r="AV179" s="549"/>
      <c r="AW179" s="549"/>
      <c r="AX179" s="549"/>
      <c r="AY179" s="549"/>
      <c r="AZ179" s="549"/>
      <c r="BA179" s="549"/>
      <c r="BB179" s="549"/>
      <c r="BC179" s="549"/>
      <c r="BD179" s="549"/>
      <c r="BE179" s="549"/>
      <c r="BF179" s="549"/>
      <c r="BG179" s="549"/>
      <c r="BH179" s="549"/>
      <c r="BI179" s="549"/>
      <c r="BJ179" s="549"/>
      <c r="BK179" s="549"/>
      <c r="BL179" s="549"/>
      <c r="BM179" s="549"/>
      <c r="BN179" s="549"/>
      <c r="BO179" s="549"/>
      <c r="BP179" s="549"/>
      <c r="BQ179" s="549"/>
      <c r="BR179" s="549"/>
      <c r="BS179" s="549"/>
      <c r="BT179" s="549"/>
      <c r="BU179" s="549"/>
      <c r="BV179" s="549"/>
      <c r="BW179" s="549"/>
      <c r="BX179" s="549"/>
      <c r="BY179" s="549"/>
      <c r="BZ179" s="549"/>
      <c r="CA179" s="549"/>
    </row>
    <row r="180" spans="1:79" ht="15.75" customHeight="1">
      <c r="A180" s="614"/>
      <c r="B180" s="549"/>
      <c r="C180" s="549"/>
      <c r="D180" s="549"/>
      <c r="E180" s="549"/>
      <c r="F180" s="549"/>
      <c r="G180" s="549"/>
      <c r="H180" s="549"/>
      <c r="I180" s="549"/>
      <c r="J180" s="549"/>
      <c r="K180" s="549"/>
      <c r="L180" s="549"/>
      <c r="M180" s="549"/>
      <c r="N180" s="549"/>
      <c r="O180" s="549"/>
      <c r="P180" s="549"/>
      <c r="Q180" s="549"/>
      <c r="R180" s="549"/>
      <c r="S180" s="549"/>
      <c r="T180" s="549"/>
      <c r="U180" s="549"/>
      <c r="V180" s="549"/>
      <c r="W180" s="549"/>
      <c r="X180" s="549"/>
      <c r="Y180" s="549"/>
      <c r="Z180" s="549"/>
      <c r="AA180" s="549"/>
      <c r="AB180" s="549"/>
      <c r="AC180" s="549"/>
      <c r="AD180" s="549"/>
      <c r="AE180" s="549"/>
      <c r="AF180" s="549"/>
      <c r="AG180" s="549"/>
      <c r="AH180" s="549"/>
      <c r="AI180" s="549"/>
      <c r="AJ180" s="549"/>
      <c r="AK180" s="549"/>
      <c r="AL180" s="549"/>
      <c r="AM180" s="549"/>
      <c r="AN180" s="549"/>
      <c r="AO180" s="549"/>
      <c r="AP180" s="549"/>
      <c r="AQ180" s="549"/>
      <c r="AR180" s="549"/>
      <c r="AS180" s="549"/>
      <c r="AT180" s="549"/>
      <c r="AU180" s="549"/>
      <c r="AV180" s="549"/>
      <c r="AW180" s="549"/>
      <c r="AX180" s="549"/>
      <c r="AY180" s="549"/>
      <c r="AZ180" s="549"/>
      <c r="BA180" s="549"/>
      <c r="BB180" s="549"/>
      <c r="BC180" s="549"/>
      <c r="BD180" s="549"/>
      <c r="BE180" s="549"/>
      <c r="BF180" s="549"/>
      <c r="BG180" s="549"/>
      <c r="BH180" s="549"/>
      <c r="BI180" s="549"/>
      <c r="BJ180" s="549"/>
      <c r="BK180" s="549"/>
      <c r="BL180" s="549"/>
      <c r="BM180" s="549"/>
      <c r="BN180" s="549"/>
      <c r="BO180" s="549"/>
      <c r="BP180" s="549"/>
      <c r="BQ180" s="549"/>
      <c r="BR180" s="549"/>
      <c r="BS180" s="549"/>
      <c r="BT180" s="549"/>
      <c r="BU180" s="549"/>
      <c r="BV180" s="549"/>
      <c r="BW180" s="549"/>
      <c r="BX180" s="549"/>
      <c r="BY180" s="549"/>
      <c r="BZ180" s="549"/>
      <c r="CA180" s="549"/>
    </row>
    <row r="181" spans="1:79" ht="15.75" customHeight="1">
      <c r="A181" s="614"/>
      <c r="B181" s="549"/>
      <c r="C181" s="549"/>
      <c r="D181" s="549"/>
      <c r="E181" s="549"/>
      <c r="F181" s="549"/>
      <c r="G181" s="549"/>
      <c r="H181" s="549"/>
      <c r="I181" s="549"/>
      <c r="J181" s="549"/>
      <c r="K181" s="549"/>
      <c r="L181" s="549"/>
      <c r="M181" s="549"/>
      <c r="N181" s="549"/>
      <c r="O181" s="549"/>
      <c r="P181" s="549"/>
      <c r="Q181" s="549"/>
      <c r="R181" s="549"/>
      <c r="S181" s="549"/>
      <c r="T181" s="549"/>
      <c r="U181" s="549"/>
      <c r="V181" s="549"/>
      <c r="W181" s="549"/>
      <c r="X181" s="549"/>
      <c r="Y181" s="549"/>
      <c r="Z181" s="549"/>
      <c r="AA181" s="549"/>
      <c r="AB181" s="549"/>
      <c r="AC181" s="549"/>
      <c r="AD181" s="549"/>
      <c r="AE181" s="549"/>
      <c r="AF181" s="549"/>
      <c r="AG181" s="549"/>
      <c r="AH181" s="549"/>
      <c r="AI181" s="549"/>
      <c r="AJ181" s="549"/>
      <c r="AK181" s="549"/>
      <c r="AL181" s="549"/>
      <c r="AM181" s="549"/>
      <c r="AN181" s="549"/>
      <c r="AO181" s="549"/>
      <c r="AP181" s="549"/>
      <c r="AQ181" s="549"/>
      <c r="AR181" s="549"/>
      <c r="AS181" s="549"/>
      <c r="AT181" s="549"/>
      <c r="AU181" s="549"/>
      <c r="AV181" s="549"/>
      <c r="AW181" s="549"/>
      <c r="AX181" s="549"/>
      <c r="AY181" s="549"/>
      <c r="AZ181" s="549"/>
      <c r="BA181" s="549"/>
      <c r="BB181" s="549"/>
      <c r="BC181" s="549"/>
      <c r="BD181" s="549"/>
      <c r="BE181" s="549"/>
      <c r="BF181" s="549"/>
      <c r="BG181" s="549"/>
      <c r="BH181" s="549"/>
      <c r="BI181" s="549"/>
      <c r="BJ181" s="549"/>
      <c r="BK181" s="549"/>
      <c r="BL181" s="549"/>
      <c r="BM181" s="549"/>
      <c r="BN181" s="549"/>
      <c r="BO181" s="549"/>
      <c r="BP181" s="549"/>
      <c r="BQ181" s="549"/>
      <c r="BR181" s="549"/>
      <c r="BS181" s="549"/>
      <c r="BT181" s="549"/>
      <c r="BU181" s="549"/>
      <c r="BV181" s="549"/>
      <c r="BW181" s="549"/>
      <c r="BX181" s="549"/>
      <c r="BY181" s="549"/>
      <c r="BZ181" s="549"/>
      <c r="CA181" s="549"/>
    </row>
    <row r="182" spans="1:79" ht="15.75" customHeight="1">
      <c r="A182" s="614"/>
      <c r="B182" s="549"/>
      <c r="C182" s="549"/>
      <c r="D182" s="549"/>
      <c r="E182" s="549"/>
      <c r="F182" s="549"/>
      <c r="G182" s="549"/>
      <c r="H182" s="549"/>
      <c r="I182" s="549"/>
      <c r="J182" s="549"/>
      <c r="K182" s="549"/>
      <c r="L182" s="549"/>
      <c r="M182" s="549"/>
      <c r="N182" s="549"/>
      <c r="O182" s="549"/>
      <c r="P182" s="549"/>
      <c r="Q182" s="549"/>
      <c r="R182" s="549"/>
      <c r="S182" s="549"/>
      <c r="T182" s="549"/>
      <c r="U182" s="549"/>
      <c r="V182" s="549"/>
      <c r="W182" s="549"/>
      <c r="X182" s="549"/>
      <c r="Y182" s="549"/>
      <c r="Z182" s="549"/>
      <c r="AA182" s="549"/>
      <c r="AB182" s="549"/>
      <c r="AC182" s="549"/>
      <c r="AD182" s="549"/>
      <c r="AE182" s="549"/>
      <c r="AF182" s="549"/>
      <c r="AG182" s="549"/>
      <c r="AH182" s="549"/>
      <c r="AI182" s="549"/>
      <c r="AJ182" s="549"/>
      <c r="AK182" s="549"/>
      <c r="AL182" s="549"/>
      <c r="AM182" s="549"/>
      <c r="AN182" s="549"/>
      <c r="AO182" s="549"/>
      <c r="AP182" s="549"/>
      <c r="AQ182" s="549"/>
      <c r="AR182" s="549"/>
      <c r="AS182" s="549"/>
      <c r="AT182" s="549"/>
      <c r="AU182" s="549"/>
      <c r="AV182" s="549"/>
      <c r="AW182" s="549"/>
      <c r="AX182" s="549"/>
      <c r="AY182" s="549"/>
      <c r="AZ182" s="549"/>
      <c r="BA182" s="549"/>
      <c r="BB182" s="549"/>
      <c r="BC182" s="549"/>
      <c r="BD182" s="549"/>
      <c r="BE182" s="549"/>
      <c r="BF182" s="549"/>
      <c r="BG182" s="549"/>
      <c r="BH182" s="549"/>
      <c r="BI182" s="549"/>
      <c r="BJ182" s="549"/>
      <c r="BK182" s="549"/>
      <c r="BL182" s="549"/>
      <c r="BM182" s="549"/>
      <c r="BN182" s="549"/>
      <c r="BO182" s="549"/>
      <c r="BP182" s="549"/>
      <c r="BQ182" s="549"/>
      <c r="BR182" s="549"/>
      <c r="BS182" s="549"/>
      <c r="BT182" s="549"/>
      <c r="BU182" s="549"/>
      <c r="BV182" s="549"/>
      <c r="BW182" s="549"/>
      <c r="BX182" s="549"/>
      <c r="BY182" s="549"/>
      <c r="BZ182" s="549"/>
      <c r="CA182" s="549"/>
    </row>
    <row r="183" spans="1:79" ht="15.75" customHeight="1">
      <c r="A183" s="614"/>
      <c r="B183" s="549"/>
      <c r="C183" s="549"/>
      <c r="D183" s="549"/>
      <c r="E183" s="549"/>
      <c r="F183" s="549"/>
      <c r="G183" s="549"/>
      <c r="H183" s="549"/>
      <c r="I183" s="549"/>
      <c r="J183" s="549"/>
      <c r="K183" s="549"/>
      <c r="L183" s="549"/>
      <c r="M183" s="549"/>
      <c r="N183" s="549"/>
      <c r="O183" s="549"/>
      <c r="P183" s="549"/>
      <c r="Q183" s="549"/>
      <c r="R183" s="549"/>
      <c r="S183" s="549"/>
      <c r="T183" s="549"/>
      <c r="U183" s="549"/>
      <c r="V183" s="549"/>
      <c r="W183" s="549"/>
      <c r="X183" s="549"/>
      <c r="Y183" s="549"/>
      <c r="Z183" s="549"/>
      <c r="AA183" s="549"/>
      <c r="AB183" s="549"/>
      <c r="AC183" s="549"/>
      <c r="AD183" s="549"/>
      <c r="AE183" s="549"/>
      <c r="AF183" s="549"/>
      <c r="AG183" s="549"/>
      <c r="AH183" s="549"/>
      <c r="AI183" s="549"/>
      <c r="AJ183" s="549"/>
      <c r="AK183" s="549"/>
      <c r="AL183" s="549"/>
      <c r="AM183" s="549"/>
      <c r="AN183" s="549"/>
      <c r="AO183" s="549"/>
      <c r="AP183" s="549"/>
      <c r="AQ183" s="549"/>
      <c r="AR183" s="549"/>
      <c r="AS183" s="549"/>
      <c r="AT183" s="549"/>
      <c r="AU183" s="549"/>
      <c r="AV183" s="549"/>
      <c r="AW183" s="549"/>
      <c r="AX183" s="549"/>
      <c r="AY183" s="549"/>
      <c r="AZ183" s="549"/>
      <c r="BA183" s="549"/>
      <c r="BB183" s="549"/>
      <c r="BC183" s="549"/>
      <c r="BD183" s="549"/>
      <c r="BE183" s="549"/>
      <c r="BF183" s="549"/>
      <c r="BG183" s="549"/>
      <c r="BH183" s="549"/>
      <c r="BI183" s="549"/>
      <c r="BJ183" s="549"/>
      <c r="BK183" s="549"/>
      <c r="BL183" s="549"/>
      <c r="BM183" s="549"/>
      <c r="BN183" s="549"/>
      <c r="BO183" s="549"/>
      <c r="BP183" s="549"/>
      <c r="BQ183" s="549"/>
      <c r="BR183" s="549"/>
      <c r="BS183" s="549"/>
      <c r="BT183" s="549"/>
      <c r="BU183" s="549"/>
      <c r="BV183" s="549"/>
      <c r="BW183" s="549"/>
      <c r="BX183" s="549"/>
      <c r="BY183" s="549"/>
      <c r="BZ183" s="549"/>
      <c r="CA183" s="549"/>
    </row>
    <row r="184" spans="1:79" ht="15.75" customHeight="1">
      <c r="A184" s="614"/>
      <c r="B184" s="549"/>
      <c r="C184" s="549"/>
      <c r="D184" s="549"/>
      <c r="E184" s="549"/>
      <c r="F184" s="549"/>
      <c r="G184" s="549"/>
      <c r="H184" s="549"/>
      <c r="I184" s="549"/>
      <c r="J184" s="549"/>
      <c r="K184" s="549"/>
      <c r="L184" s="549"/>
      <c r="M184" s="549"/>
      <c r="N184" s="549"/>
      <c r="O184" s="549"/>
      <c r="P184" s="549"/>
      <c r="Q184" s="549"/>
      <c r="R184" s="549"/>
      <c r="S184" s="549"/>
      <c r="T184" s="549"/>
      <c r="U184" s="549"/>
      <c r="V184" s="549"/>
      <c r="W184" s="549"/>
      <c r="X184" s="549"/>
      <c r="Y184" s="549"/>
      <c r="Z184" s="549"/>
      <c r="AA184" s="549"/>
      <c r="AB184" s="549"/>
      <c r="AC184" s="549"/>
      <c r="AD184" s="549"/>
      <c r="AE184" s="549"/>
      <c r="AF184" s="549"/>
      <c r="AG184" s="549"/>
      <c r="AH184" s="549"/>
      <c r="AI184" s="549"/>
      <c r="AJ184" s="549"/>
      <c r="AK184" s="549"/>
      <c r="AL184" s="549"/>
      <c r="AM184" s="549"/>
      <c r="AN184" s="549"/>
      <c r="AO184" s="549"/>
      <c r="AP184" s="549"/>
      <c r="AQ184" s="549"/>
      <c r="AR184" s="549"/>
      <c r="AS184" s="549"/>
      <c r="AT184" s="549"/>
      <c r="AU184" s="549"/>
      <c r="AV184" s="549"/>
      <c r="AW184" s="549"/>
      <c r="AX184" s="549"/>
      <c r="AY184" s="549"/>
      <c r="AZ184" s="549"/>
      <c r="BA184" s="549"/>
      <c r="BB184" s="549"/>
      <c r="BC184" s="549"/>
      <c r="BD184" s="549"/>
      <c r="BE184" s="549"/>
      <c r="BF184" s="549"/>
      <c r="BG184" s="549"/>
      <c r="BH184" s="549"/>
      <c r="BI184" s="549"/>
      <c r="BJ184" s="549"/>
      <c r="BK184" s="549"/>
      <c r="BL184" s="549"/>
      <c r="BM184" s="549"/>
      <c r="BN184" s="549"/>
      <c r="BO184" s="549"/>
      <c r="BP184" s="549"/>
      <c r="BQ184" s="549"/>
      <c r="BR184" s="549"/>
      <c r="BS184" s="549"/>
      <c r="BT184" s="549"/>
      <c r="BU184" s="549"/>
      <c r="BV184" s="549"/>
      <c r="BW184" s="549"/>
      <c r="BX184" s="549"/>
      <c r="BY184" s="549"/>
      <c r="BZ184" s="549"/>
      <c r="CA184" s="549"/>
    </row>
    <row r="185" spans="1:79" ht="15.75" customHeight="1">
      <c r="A185" s="614"/>
      <c r="B185" s="549"/>
      <c r="C185" s="549"/>
      <c r="D185" s="549"/>
      <c r="E185" s="549"/>
      <c r="F185" s="549"/>
      <c r="G185" s="549"/>
      <c r="H185" s="549"/>
      <c r="I185" s="549"/>
      <c r="J185" s="549"/>
      <c r="K185" s="549"/>
      <c r="L185" s="549"/>
      <c r="M185" s="549"/>
      <c r="N185" s="549"/>
      <c r="O185" s="549"/>
      <c r="P185" s="549"/>
      <c r="Q185" s="549"/>
      <c r="R185" s="549"/>
      <c r="S185" s="549"/>
      <c r="T185" s="549"/>
      <c r="U185" s="549"/>
      <c r="V185" s="549"/>
      <c r="W185" s="549"/>
      <c r="X185" s="549"/>
      <c r="Y185" s="549"/>
      <c r="Z185" s="549"/>
      <c r="AA185" s="549"/>
      <c r="AB185" s="549"/>
      <c r="AC185" s="549"/>
      <c r="AD185" s="549"/>
      <c r="AE185" s="549"/>
      <c r="AF185" s="549"/>
      <c r="AG185" s="549"/>
      <c r="AH185" s="549"/>
      <c r="AI185" s="549"/>
      <c r="AJ185" s="549"/>
      <c r="AK185" s="549"/>
      <c r="AL185" s="549"/>
      <c r="AM185" s="549"/>
      <c r="AN185" s="549"/>
      <c r="AO185" s="549"/>
      <c r="AP185" s="549"/>
      <c r="AQ185" s="549"/>
      <c r="AR185" s="549"/>
      <c r="AS185" s="549"/>
      <c r="AT185" s="549"/>
      <c r="AU185" s="549"/>
      <c r="AV185" s="549"/>
      <c r="AW185" s="549"/>
      <c r="AX185" s="549"/>
      <c r="AY185" s="549"/>
      <c r="AZ185" s="549"/>
      <c r="BA185" s="549"/>
      <c r="BB185" s="549"/>
      <c r="BC185" s="549"/>
      <c r="BD185" s="549"/>
      <c r="BE185" s="549"/>
      <c r="BF185" s="549"/>
      <c r="BG185" s="549"/>
      <c r="BH185" s="549"/>
      <c r="BI185" s="549"/>
      <c r="BJ185" s="549"/>
      <c r="BK185" s="549"/>
      <c r="BL185" s="549"/>
      <c r="BM185" s="549"/>
      <c r="BN185" s="549"/>
      <c r="BO185" s="549"/>
      <c r="BP185" s="549"/>
      <c r="BQ185" s="549"/>
      <c r="BR185" s="549"/>
      <c r="BS185" s="549"/>
      <c r="BT185" s="549"/>
      <c r="BU185" s="549"/>
      <c r="BV185" s="549"/>
      <c r="BW185" s="549"/>
      <c r="BX185" s="549"/>
      <c r="BY185" s="549"/>
      <c r="BZ185" s="549"/>
      <c r="CA185" s="549"/>
    </row>
    <row r="186" spans="1:79" ht="15.75" customHeight="1">
      <c r="A186" s="614"/>
      <c r="B186" s="549"/>
      <c r="C186" s="549"/>
      <c r="D186" s="549"/>
      <c r="E186" s="549"/>
      <c r="F186" s="549"/>
      <c r="G186" s="549"/>
      <c r="H186" s="549"/>
      <c r="I186" s="549"/>
      <c r="J186" s="549"/>
      <c r="K186" s="549"/>
      <c r="L186" s="549"/>
      <c r="M186" s="549"/>
      <c r="N186" s="549"/>
      <c r="O186" s="549"/>
      <c r="P186" s="549"/>
      <c r="Q186" s="549"/>
      <c r="R186" s="549"/>
      <c r="S186" s="549"/>
      <c r="T186" s="549"/>
      <c r="U186" s="549"/>
      <c r="V186" s="549"/>
      <c r="W186" s="549"/>
      <c r="X186" s="549"/>
      <c r="Y186" s="549"/>
      <c r="Z186" s="549"/>
      <c r="AA186" s="549"/>
      <c r="AB186" s="549"/>
      <c r="AC186" s="549"/>
      <c r="AD186" s="549"/>
      <c r="AE186" s="549"/>
      <c r="AF186" s="549"/>
      <c r="AG186" s="549"/>
      <c r="AH186" s="549"/>
      <c r="AI186" s="549"/>
      <c r="AJ186" s="549"/>
      <c r="AK186" s="549"/>
      <c r="AL186" s="549"/>
      <c r="AM186" s="549"/>
      <c r="AN186" s="549"/>
      <c r="AO186" s="549"/>
      <c r="AP186" s="549"/>
      <c r="AQ186" s="549"/>
      <c r="AR186" s="549"/>
      <c r="AS186" s="549"/>
      <c r="AT186" s="549"/>
      <c r="AU186" s="549"/>
      <c r="AV186" s="549"/>
      <c r="AW186" s="549"/>
      <c r="AX186" s="549"/>
      <c r="AY186" s="549"/>
      <c r="AZ186" s="549"/>
      <c r="BA186" s="549"/>
      <c r="BB186" s="549"/>
      <c r="BC186" s="549"/>
      <c r="BD186" s="549"/>
      <c r="BE186" s="549"/>
      <c r="BF186" s="549"/>
      <c r="BG186" s="549"/>
      <c r="BH186" s="549"/>
      <c r="BI186" s="549"/>
      <c r="BJ186" s="549"/>
      <c r="BK186" s="549"/>
      <c r="BL186" s="549"/>
      <c r="BM186" s="549"/>
      <c r="BN186" s="549"/>
      <c r="BO186" s="549"/>
      <c r="BP186" s="549"/>
      <c r="BQ186" s="549"/>
      <c r="BR186" s="549"/>
      <c r="BS186" s="549"/>
      <c r="BT186" s="549"/>
      <c r="BU186" s="549"/>
      <c r="BV186" s="549"/>
      <c r="BW186" s="549"/>
      <c r="BX186" s="549"/>
      <c r="BY186" s="549"/>
      <c r="BZ186" s="549"/>
      <c r="CA186" s="549"/>
    </row>
    <row r="187" spans="1:79" ht="15.75" customHeight="1">
      <c r="A187" s="614"/>
      <c r="B187" s="549"/>
      <c r="C187" s="549"/>
      <c r="D187" s="549"/>
      <c r="E187" s="549"/>
      <c r="F187" s="549"/>
      <c r="G187" s="549"/>
      <c r="H187" s="549"/>
      <c r="I187" s="549"/>
      <c r="J187" s="549"/>
      <c r="K187" s="549"/>
      <c r="L187" s="549"/>
      <c r="M187" s="549"/>
      <c r="N187" s="549"/>
      <c r="O187" s="549"/>
      <c r="P187" s="549"/>
      <c r="Q187" s="549"/>
      <c r="R187" s="549"/>
      <c r="S187" s="549"/>
      <c r="T187" s="549"/>
      <c r="U187" s="549"/>
      <c r="V187" s="549"/>
      <c r="W187" s="549"/>
      <c r="X187" s="549"/>
      <c r="Y187" s="549"/>
      <c r="Z187" s="549"/>
      <c r="AA187" s="549"/>
      <c r="AB187" s="549"/>
      <c r="AC187" s="549"/>
      <c r="AD187" s="549"/>
      <c r="AE187" s="549"/>
      <c r="AF187" s="549"/>
      <c r="AG187" s="549"/>
      <c r="AH187" s="549"/>
      <c r="AI187" s="549"/>
      <c r="AJ187" s="549"/>
      <c r="AK187" s="549"/>
      <c r="AL187" s="549"/>
      <c r="AM187" s="549"/>
      <c r="AN187" s="549"/>
      <c r="AO187" s="549"/>
      <c r="AP187" s="549"/>
      <c r="AQ187" s="549"/>
      <c r="AR187" s="549"/>
      <c r="AS187" s="549"/>
      <c r="AT187" s="549"/>
      <c r="AU187" s="549"/>
      <c r="AV187" s="549"/>
      <c r="AW187" s="549"/>
      <c r="AX187" s="549"/>
      <c r="AY187" s="549"/>
      <c r="AZ187" s="549"/>
      <c r="BA187" s="549"/>
      <c r="BB187" s="549"/>
      <c r="BC187" s="549"/>
      <c r="BD187" s="549"/>
      <c r="BE187" s="549"/>
      <c r="BF187" s="549"/>
      <c r="BG187" s="549"/>
      <c r="BH187" s="549"/>
      <c r="BI187" s="549"/>
      <c r="BJ187" s="549"/>
      <c r="BK187" s="549"/>
      <c r="BL187" s="549"/>
      <c r="BM187" s="549"/>
      <c r="BN187" s="549"/>
      <c r="BO187" s="549"/>
      <c r="BP187" s="549"/>
      <c r="BQ187" s="549"/>
      <c r="BR187" s="549"/>
      <c r="BS187" s="549"/>
      <c r="BT187" s="549"/>
      <c r="BU187" s="549"/>
      <c r="BV187" s="549"/>
      <c r="BW187" s="549"/>
      <c r="BX187" s="549"/>
      <c r="BY187" s="549"/>
      <c r="BZ187" s="549"/>
      <c r="CA187" s="549"/>
    </row>
    <row r="188" spans="1:79" ht="15.75" customHeight="1">
      <c r="A188" s="614"/>
      <c r="B188" s="549"/>
      <c r="C188" s="549"/>
      <c r="D188" s="549"/>
      <c r="E188" s="549"/>
      <c r="F188" s="549"/>
      <c r="G188" s="549"/>
      <c r="H188" s="549"/>
      <c r="I188" s="549"/>
      <c r="J188" s="549"/>
      <c r="K188" s="549"/>
      <c r="L188" s="549"/>
      <c r="M188" s="549"/>
      <c r="N188" s="549"/>
      <c r="O188" s="549"/>
      <c r="P188" s="549"/>
      <c r="Q188" s="549"/>
      <c r="R188" s="549"/>
      <c r="S188" s="549"/>
      <c r="T188" s="549"/>
      <c r="U188" s="549"/>
      <c r="V188" s="549"/>
      <c r="W188" s="549"/>
      <c r="X188" s="549"/>
      <c r="Y188" s="549"/>
      <c r="Z188" s="549"/>
      <c r="AA188" s="549"/>
      <c r="AB188" s="549"/>
      <c r="AC188" s="549"/>
      <c r="AD188" s="549"/>
      <c r="AE188" s="549"/>
      <c r="AF188" s="549"/>
      <c r="AG188" s="549"/>
      <c r="AH188" s="549"/>
      <c r="AI188" s="549"/>
      <c r="AJ188" s="549"/>
      <c r="AK188" s="549"/>
      <c r="AL188" s="549"/>
      <c r="AM188" s="549"/>
      <c r="AN188" s="549"/>
      <c r="AO188" s="549"/>
      <c r="AP188" s="549"/>
      <c r="AQ188" s="549"/>
      <c r="AR188" s="549"/>
      <c r="AS188" s="549"/>
      <c r="AT188" s="549"/>
      <c r="AU188" s="549"/>
      <c r="AV188" s="549"/>
      <c r="AW188" s="549"/>
      <c r="AX188" s="549"/>
      <c r="AY188" s="549"/>
      <c r="AZ188" s="549"/>
      <c r="BA188" s="549"/>
      <c r="BB188" s="549"/>
      <c r="BC188" s="549"/>
      <c r="BD188" s="549"/>
      <c r="BE188" s="549"/>
      <c r="BF188" s="549"/>
      <c r="BG188" s="549"/>
      <c r="BH188" s="549"/>
      <c r="BI188" s="549"/>
      <c r="BJ188" s="549"/>
      <c r="BK188" s="549"/>
      <c r="BL188" s="549"/>
      <c r="BM188" s="549"/>
      <c r="BN188" s="549"/>
      <c r="BO188" s="549"/>
      <c r="BP188" s="549"/>
      <c r="BQ188" s="549"/>
      <c r="BR188" s="549"/>
      <c r="BS188" s="549"/>
      <c r="BT188" s="549"/>
      <c r="BU188" s="549"/>
      <c r="BV188" s="549"/>
      <c r="BW188" s="549"/>
      <c r="BX188" s="549"/>
      <c r="BY188" s="549"/>
      <c r="BZ188" s="549"/>
      <c r="CA188" s="549"/>
    </row>
    <row r="189" spans="1:79" ht="15.75" customHeight="1">
      <c r="A189" s="614"/>
      <c r="B189" s="549"/>
      <c r="C189" s="549"/>
      <c r="D189" s="549"/>
      <c r="E189" s="549"/>
      <c r="F189" s="549"/>
      <c r="G189" s="549"/>
      <c r="H189" s="549"/>
      <c r="I189" s="549"/>
      <c r="J189" s="549"/>
      <c r="K189" s="549"/>
      <c r="L189" s="549"/>
      <c r="M189" s="549"/>
      <c r="N189" s="549"/>
      <c r="O189" s="549"/>
      <c r="P189" s="549"/>
      <c r="Q189" s="549"/>
      <c r="R189" s="549"/>
      <c r="S189" s="549"/>
      <c r="T189" s="549"/>
      <c r="U189" s="549"/>
      <c r="V189" s="549"/>
      <c r="W189" s="549"/>
      <c r="X189" s="549"/>
      <c r="Y189" s="549"/>
      <c r="Z189" s="549"/>
      <c r="AA189" s="549"/>
      <c r="AB189" s="549"/>
      <c r="AC189" s="549"/>
      <c r="AD189" s="549"/>
      <c r="AE189" s="549"/>
      <c r="AF189" s="549"/>
      <c r="AG189" s="549"/>
      <c r="AH189" s="549"/>
      <c r="AI189" s="549"/>
      <c r="AJ189" s="549"/>
      <c r="AK189" s="549"/>
      <c r="AL189" s="549"/>
      <c r="AM189" s="549"/>
      <c r="AN189" s="549"/>
      <c r="AO189" s="549"/>
      <c r="AP189" s="549"/>
      <c r="AQ189" s="549"/>
      <c r="AR189" s="549"/>
      <c r="AS189" s="549"/>
      <c r="AT189" s="549"/>
      <c r="AU189" s="549"/>
      <c r="AV189" s="549"/>
      <c r="AW189" s="549"/>
      <c r="AX189" s="549"/>
      <c r="AY189" s="549"/>
      <c r="AZ189" s="549"/>
      <c r="BA189" s="549"/>
      <c r="BB189" s="549"/>
      <c r="BC189" s="549"/>
      <c r="BD189" s="549"/>
      <c r="BE189" s="549"/>
      <c r="BF189" s="549"/>
      <c r="BG189" s="549"/>
      <c r="BH189" s="549"/>
      <c r="BI189" s="549"/>
      <c r="BJ189" s="549"/>
      <c r="BK189" s="549"/>
      <c r="BL189" s="549"/>
      <c r="BM189" s="549"/>
      <c r="BN189" s="549"/>
      <c r="BO189" s="549"/>
      <c r="BP189" s="549"/>
      <c r="BQ189" s="549"/>
      <c r="BR189" s="549"/>
      <c r="BS189" s="549"/>
      <c r="BT189" s="549"/>
      <c r="BU189" s="549"/>
      <c r="BV189" s="549"/>
      <c r="BW189" s="549"/>
      <c r="BX189" s="549"/>
      <c r="BY189" s="549"/>
      <c r="BZ189" s="549"/>
      <c r="CA189" s="549"/>
    </row>
    <row r="190" spans="1:79" ht="15.75" customHeight="1">
      <c r="A190" s="614"/>
      <c r="B190" s="549"/>
      <c r="C190" s="549"/>
      <c r="D190" s="549"/>
      <c r="E190" s="549"/>
      <c r="F190" s="549"/>
      <c r="G190" s="549"/>
      <c r="H190" s="549"/>
      <c r="I190" s="549"/>
      <c r="J190" s="549"/>
      <c r="K190" s="549"/>
      <c r="L190" s="549"/>
      <c r="M190" s="549"/>
      <c r="N190" s="549"/>
      <c r="O190" s="549"/>
      <c r="P190" s="549"/>
      <c r="Q190" s="549"/>
      <c r="R190" s="549"/>
      <c r="S190" s="549"/>
      <c r="T190" s="549"/>
      <c r="U190" s="549"/>
      <c r="V190" s="549"/>
      <c r="W190" s="549"/>
      <c r="X190" s="549"/>
      <c r="Y190" s="549"/>
      <c r="Z190" s="549"/>
      <c r="AA190" s="549"/>
      <c r="AB190" s="549"/>
      <c r="AC190" s="549"/>
      <c r="AD190" s="549"/>
      <c r="AE190" s="549"/>
      <c r="AF190" s="549"/>
      <c r="AG190" s="549"/>
      <c r="AH190" s="549"/>
      <c r="AI190" s="549"/>
      <c r="AJ190" s="549"/>
      <c r="AK190" s="549"/>
      <c r="AL190" s="549"/>
      <c r="AM190" s="549"/>
      <c r="AN190" s="549"/>
      <c r="AO190" s="549"/>
      <c r="AP190" s="549"/>
      <c r="AQ190" s="549"/>
      <c r="AR190" s="549"/>
      <c r="AS190" s="549"/>
      <c r="AT190" s="549"/>
      <c r="AU190" s="549"/>
      <c r="AV190" s="549"/>
      <c r="AW190" s="549"/>
      <c r="AX190" s="549"/>
      <c r="AY190" s="549"/>
      <c r="AZ190" s="549"/>
      <c r="BA190" s="549"/>
      <c r="BB190" s="549"/>
      <c r="BC190" s="549"/>
      <c r="BD190" s="549"/>
      <c r="BE190" s="549"/>
      <c r="BF190" s="549"/>
      <c r="BG190" s="549"/>
      <c r="BH190" s="549"/>
      <c r="BI190" s="549"/>
      <c r="BJ190" s="549"/>
      <c r="BK190" s="549"/>
      <c r="BL190" s="549"/>
      <c r="BM190" s="549"/>
      <c r="BN190" s="549"/>
      <c r="BO190" s="549"/>
      <c r="BP190" s="549"/>
      <c r="BQ190" s="549"/>
      <c r="BR190" s="549"/>
      <c r="BS190" s="549"/>
      <c r="BT190" s="549"/>
      <c r="BU190" s="549"/>
      <c r="BV190" s="549"/>
      <c r="BW190" s="549"/>
      <c r="BX190" s="549"/>
      <c r="BY190" s="549"/>
      <c r="BZ190" s="549"/>
      <c r="CA190" s="549"/>
    </row>
    <row r="191" spans="1:79" ht="15.75" customHeight="1">
      <c r="A191" s="614"/>
      <c r="B191" s="549"/>
      <c r="C191" s="549"/>
      <c r="D191" s="549"/>
      <c r="E191" s="549"/>
      <c r="F191" s="549"/>
      <c r="G191" s="549"/>
      <c r="H191" s="549"/>
      <c r="I191" s="549"/>
      <c r="J191" s="549"/>
      <c r="K191" s="549"/>
      <c r="L191" s="549"/>
      <c r="M191" s="549"/>
      <c r="N191" s="549"/>
      <c r="O191" s="549"/>
      <c r="P191" s="549"/>
      <c r="Q191" s="549"/>
      <c r="R191" s="549"/>
      <c r="S191" s="549"/>
      <c r="T191" s="549"/>
      <c r="U191" s="549"/>
      <c r="V191" s="549"/>
      <c r="W191" s="549"/>
      <c r="X191" s="549"/>
      <c r="Y191" s="549"/>
      <c r="Z191" s="549"/>
      <c r="AA191" s="549"/>
      <c r="AB191" s="549"/>
      <c r="AC191" s="549"/>
      <c r="AD191" s="549"/>
      <c r="AE191" s="549"/>
      <c r="AF191" s="549"/>
      <c r="AG191" s="549"/>
      <c r="AH191" s="549"/>
      <c r="AI191" s="549"/>
      <c r="AJ191" s="549"/>
      <c r="AK191" s="549"/>
      <c r="AL191" s="549"/>
      <c r="AM191" s="549"/>
      <c r="AN191" s="549"/>
      <c r="AO191" s="549"/>
      <c r="AP191" s="549"/>
      <c r="AQ191" s="549"/>
      <c r="AR191" s="549"/>
      <c r="AS191" s="549"/>
      <c r="AT191" s="549"/>
      <c r="AU191" s="549"/>
      <c r="AV191" s="549"/>
      <c r="AW191" s="549"/>
      <c r="AX191" s="549"/>
      <c r="AY191" s="549"/>
      <c r="AZ191" s="549"/>
      <c r="BA191" s="549"/>
      <c r="BB191" s="549"/>
      <c r="BC191" s="549"/>
      <c r="BD191" s="549"/>
      <c r="BE191" s="549"/>
      <c r="BF191" s="549"/>
      <c r="BG191" s="549"/>
      <c r="BH191" s="549"/>
      <c r="BI191" s="549"/>
      <c r="BJ191" s="549"/>
      <c r="BK191" s="549"/>
      <c r="BL191" s="549"/>
      <c r="BM191" s="549"/>
      <c r="BN191" s="549"/>
      <c r="BO191" s="549"/>
      <c r="BP191" s="549"/>
      <c r="BQ191" s="549"/>
      <c r="BR191" s="549"/>
      <c r="BS191" s="549"/>
      <c r="BT191" s="549"/>
      <c r="BU191" s="549"/>
      <c r="BV191" s="549"/>
      <c r="BW191" s="549"/>
      <c r="BX191" s="549"/>
      <c r="BY191" s="549"/>
      <c r="BZ191" s="549"/>
      <c r="CA191" s="549"/>
    </row>
    <row r="192" spans="1:79" ht="15.75" customHeight="1">
      <c r="A192" s="614"/>
      <c r="B192" s="549"/>
      <c r="C192" s="549"/>
      <c r="D192" s="549"/>
      <c r="E192" s="549"/>
      <c r="F192" s="549"/>
      <c r="G192" s="549"/>
      <c r="H192" s="549"/>
      <c r="I192" s="549"/>
      <c r="J192" s="549"/>
      <c r="K192" s="549"/>
      <c r="L192" s="549"/>
      <c r="M192" s="549"/>
      <c r="N192" s="549"/>
      <c r="O192" s="549"/>
      <c r="P192" s="549"/>
      <c r="Q192" s="549"/>
      <c r="R192" s="549"/>
      <c r="S192" s="549"/>
      <c r="T192" s="549"/>
      <c r="U192" s="549"/>
      <c r="V192" s="549"/>
      <c r="W192" s="549"/>
      <c r="X192" s="549"/>
      <c r="Y192" s="549"/>
      <c r="Z192" s="549"/>
      <c r="AA192" s="549"/>
      <c r="AB192" s="549"/>
      <c r="AC192" s="549"/>
      <c r="AD192" s="549"/>
      <c r="AE192" s="549"/>
      <c r="AF192" s="549"/>
      <c r="AG192" s="549"/>
      <c r="AH192" s="549"/>
      <c r="AI192" s="549"/>
      <c r="AJ192" s="549"/>
      <c r="AK192" s="549"/>
      <c r="AL192" s="549"/>
      <c r="AM192" s="549"/>
      <c r="AN192" s="549"/>
      <c r="AO192" s="549"/>
      <c r="AP192" s="549"/>
      <c r="AQ192" s="549"/>
      <c r="AR192" s="549"/>
      <c r="AS192" s="549"/>
      <c r="AT192" s="549"/>
      <c r="AU192" s="549"/>
      <c r="AV192" s="549"/>
      <c r="AW192" s="549"/>
      <c r="AX192" s="549"/>
      <c r="AY192" s="549"/>
      <c r="AZ192" s="549"/>
      <c r="BA192" s="549"/>
      <c r="BB192" s="549"/>
      <c r="BC192" s="549"/>
      <c r="BD192" s="549"/>
      <c r="BE192" s="549"/>
      <c r="BF192" s="549"/>
      <c r="BG192" s="549"/>
      <c r="BH192" s="549"/>
      <c r="BI192" s="549"/>
      <c r="BJ192" s="549"/>
      <c r="BK192" s="549"/>
      <c r="BL192" s="549"/>
      <c r="BM192" s="549"/>
      <c r="BN192" s="549"/>
      <c r="BO192" s="549"/>
      <c r="BP192" s="549"/>
      <c r="BQ192" s="549"/>
      <c r="BR192" s="549"/>
      <c r="BS192" s="549"/>
      <c r="BT192" s="549"/>
      <c r="BU192" s="549"/>
      <c r="BV192" s="549"/>
      <c r="BW192" s="549"/>
      <c r="BX192" s="549"/>
      <c r="BY192" s="549"/>
      <c r="BZ192" s="549"/>
      <c r="CA192" s="549"/>
    </row>
    <row r="193" spans="1:79" ht="15.75" customHeight="1">
      <c r="A193" s="614"/>
      <c r="B193" s="549"/>
      <c r="C193" s="549"/>
      <c r="D193" s="549"/>
      <c r="E193" s="549"/>
      <c r="F193" s="549"/>
      <c r="G193" s="549"/>
      <c r="H193" s="549"/>
      <c r="I193" s="549"/>
      <c r="J193" s="549"/>
      <c r="K193" s="549"/>
      <c r="L193" s="549"/>
      <c r="M193" s="549"/>
      <c r="N193" s="549"/>
      <c r="O193" s="549"/>
      <c r="P193" s="549"/>
      <c r="Q193" s="549"/>
      <c r="R193" s="549"/>
      <c r="S193" s="549"/>
      <c r="T193" s="549"/>
      <c r="U193" s="549"/>
      <c r="V193" s="549"/>
      <c r="W193" s="549"/>
      <c r="X193" s="549"/>
      <c r="Y193" s="549"/>
      <c r="Z193" s="549"/>
      <c r="AA193" s="549"/>
      <c r="AB193" s="549"/>
      <c r="AC193" s="549"/>
      <c r="AD193" s="549"/>
      <c r="AE193" s="549"/>
      <c r="AF193" s="549"/>
      <c r="AG193" s="549"/>
      <c r="AH193" s="549"/>
      <c r="AI193" s="549"/>
      <c r="AJ193" s="549"/>
      <c r="AK193" s="549"/>
      <c r="AL193" s="549"/>
      <c r="AM193" s="549"/>
      <c r="AN193" s="549"/>
      <c r="AO193" s="549"/>
      <c r="AP193" s="549"/>
      <c r="AQ193" s="549"/>
      <c r="AR193" s="549"/>
      <c r="AS193" s="549"/>
      <c r="AT193" s="549"/>
      <c r="AU193" s="549"/>
      <c r="AV193" s="549"/>
      <c r="AW193" s="549"/>
      <c r="AX193" s="549"/>
      <c r="AY193" s="549"/>
      <c r="AZ193" s="549"/>
      <c r="BA193" s="549"/>
      <c r="BB193" s="549"/>
      <c r="BC193" s="549"/>
      <c r="BD193" s="549"/>
      <c r="BE193" s="549"/>
      <c r="BF193" s="549"/>
      <c r="BG193" s="549"/>
      <c r="BH193" s="549"/>
      <c r="BI193" s="549"/>
      <c r="BJ193" s="549"/>
      <c r="BK193" s="549"/>
      <c r="BL193" s="549"/>
      <c r="BM193" s="549"/>
      <c r="BN193" s="549"/>
      <c r="BO193" s="549"/>
      <c r="BP193" s="549"/>
      <c r="BQ193" s="549"/>
      <c r="BR193" s="549"/>
      <c r="BS193" s="549"/>
      <c r="BT193" s="549"/>
      <c r="BU193" s="549"/>
      <c r="BV193" s="549"/>
      <c r="BW193" s="549"/>
      <c r="BX193" s="549"/>
      <c r="BY193" s="549"/>
      <c r="BZ193" s="549"/>
      <c r="CA193" s="549"/>
    </row>
    <row r="194" spans="1:79" ht="15.75" customHeight="1">
      <c r="A194" s="614"/>
      <c r="B194" s="549"/>
      <c r="C194" s="549"/>
      <c r="D194" s="549"/>
      <c r="E194" s="549"/>
      <c r="F194" s="549"/>
      <c r="G194" s="549"/>
      <c r="H194" s="549"/>
      <c r="I194" s="549"/>
      <c r="J194" s="549"/>
      <c r="K194" s="549"/>
      <c r="L194" s="549"/>
      <c r="M194" s="549"/>
      <c r="N194" s="549"/>
      <c r="O194" s="549"/>
      <c r="P194" s="549"/>
      <c r="Q194" s="549"/>
      <c r="R194" s="549"/>
      <c r="S194" s="549"/>
      <c r="T194" s="549"/>
      <c r="U194" s="549"/>
      <c r="V194" s="549"/>
      <c r="W194" s="549"/>
      <c r="X194" s="549"/>
      <c r="Y194" s="549"/>
      <c r="Z194" s="549"/>
      <c r="AA194" s="549"/>
      <c r="AB194" s="549"/>
      <c r="AC194" s="549"/>
      <c r="AD194" s="549"/>
      <c r="AE194" s="549"/>
      <c r="AF194" s="549"/>
      <c r="AG194" s="549"/>
      <c r="AH194" s="549"/>
      <c r="AI194" s="549"/>
      <c r="AJ194" s="549"/>
      <c r="AK194" s="549"/>
      <c r="AL194" s="549"/>
      <c r="AM194" s="549"/>
      <c r="AN194" s="549"/>
      <c r="AO194" s="549"/>
      <c r="AP194" s="549"/>
      <c r="AQ194" s="549"/>
      <c r="AR194" s="549"/>
      <c r="AS194" s="549"/>
      <c r="AT194" s="549"/>
      <c r="AU194" s="549"/>
      <c r="AV194" s="549"/>
      <c r="AW194" s="549"/>
      <c r="AX194" s="549"/>
      <c r="AY194" s="549"/>
      <c r="AZ194" s="549"/>
      <c r="BA194" s="549"/>
      <c r="BB194" s="549"/>
      <c r="BC194" s="549"/>
      <c r="BD194" s="549"/>
      <c r="BE194" s="549"/>
      <c r="BF194" s="549"/>
      <c r="BG194" s="549"/>
      <c r="BH194" s="549"/>
      <c r="BI194" s="549"/>
      <c r="BJ194" s="549"/>
      <c r="BK194" s="549"/>
      <c r="BL194" s="549"/>
      <c r="BM194" s="549"/>
      <c r="BN194" s="549"/>
      <c r="BO194" s="549"/>
      <c r="BP194" s="549"/>
      <c r="BQ194" s="549"/>
      <c r="BR194" s="549"/>
      <c r="BS194" s="549"/>
      <c r="BT194" s="549"/>
      <c r="BU194" s="549"/>
      <c r="BV194" s="549"/>
      <c r="BW194" s="549"/>
      <c r="BX194" s="549"/>
      <c r="BY194" s="549"/>
      <c r="BZ194" s="549"/>
      <c r="CA194" s="549"/>
    </row>
    <row r="195" spans="1:79" ht="15.75" customHeight="1">
      <c r="A195" s="614"/>
      <c r="B195" s="549"/>
      <c r="C195" s="549"/>
      <c r="D195" s="549"/>
      <c r="E195" s="549"/>
      <c r="F195" s="549"/>
      <c r="G195" s="549"/>
      <c r="H195" s="549"/>
      <c r="I195" s="549"/>
      <c r="J195" s="549"/>
      <c r="K195" s="549"/>
      <c r="L195" s="549"/>
      <c r="M195" s="549"/>
      <c r="N195" s="549"/>
      <c r="O195" s="549"/>
      <c r="P195" s="549"/>
      <c r="Q195" s="549"/>
      <c r="R195" s="549"/>
      <c r="S195" s="549"/>
      <c r="T195" s="549"/>
      <c r="U195" s="549"/>
      <c r="V195" s="549"/>
      <c r="W195" s="549"/>
      <c r="X195" s="549"/>
      <c r="Y195" s="549"/>
      <c r="Z195" s="549"/>
      <c r="AA195" s="549"/>
      <c r="AB195" s="549"/>
      <c r="AC195" s="549"/>
      <c r="AD195" s="549"/>
      <c r="AE195" s="549"/>
      <c r="AF195" s="549"/>
      <c r="AG195" s="549"/>
      <c r="AH195" s="549"/>
      <c r="AI195" s="549"/>
      <c r="AJ195" s="549"/>
      <c r="AK195" s="549"/>
      <c r="AL195" s="549"/>
      <c r="AM195" s="549"/>
      <c r="AN195" s="549"/>
      <c r="AO195" s="549"/>
      <c r="AP195" s="549"/>
      <c r="AQ195" s="549"/>
      <c r="AR195" s="549"/>
      <c r="AS195" s="549"/>
      <c r="AT195" s="549"/>
      <c r="AU195" s="549"/>
      <c r="AV195" s="549"/>
      <c r="AW195" s="549"/>
      <c r="AX195" s="549"/>
      <c r="AY195" s="549"/>
      <c r="AZ195" s="549"/>
      <c r="BA195" s="549"/>
      <c r="BB195" s="549"/>
      <c r="BC195" s="549"/>
      <c r="BD195" s="549"/>
      <c r="BE195" s="549"/>
      <c r="BF195" s="549"/>
      <c r="BG195" s="549"/>
      <c r="BH195" s="549"/>
      <c r="BI195" s="549"/>
      <c r="BJ195" s="549"/>
      <c r="BK195" s="549"/>
      <c r="BL195" s="549"/>
      <c r="BM195" s="549"/>
      <c r="BN195" s="549"/>
      <c r="BO195" s="549"/>
      <c r="BP195" s="549"/>
      <c r="BQ195" s="549"/>
      <c r="BR195" s="549"/>
      <c r="BS195" s="549"/>
      <c r="BT195" s="549"/>
      <c r="BU195" s="549"/>
      <c r="BV195" s="549"/>
      <c r="BW195" s="549"/>
      <c r="BX195" s="549"/>
      <c r="BY195" s="549"/>
      <c r="BZ195" s="549"/>
      <c r="CA195" s="549"/>
    </row>
    <row r="196" spans="1:79" ht="15.75" customHeight="1">
      <c r="A196" s="614"/>
      <c r="B196" s="549"/>
      <c r="C196" s="549"/>
      <c r="D196" s="549"/>
      <c r="E196" s="549"/>
      <c r="F196" s="549"/>
      <c r="G196" s="549"/>
      <c r="H196" s="549"/>
      <c r="I196" s="549"/>
      <c r="J196" s="549"/>
      <c r="K196" s="549"/>
      <c r="L196" s="549"/>
      <c r="M196" s="549"/>
      <c r="N196" s="549"/>
      <c r="O196" s="549"/>
      <c r="P196" s="549"/>
      <c r="Q196" s="549"/>
      <c r="R196" s="549"/>
      <c r="S196" s="549"/>
      <c r="T196" s="549"/>
      <c r="U196" s="549"/>
      <c r="V196" s="549"/>
      <c r="W196" s="549"/>
      <c r="X196" s="549"/>
      <c r="Y196" s="549"/>
      <c r="Z196" s="549"/>
      <c r="AA196" s="549"/>
      <c r="AB196" s="549"/>
      <c r="AC196" s="549"/>
      <c r="AD196" s="549"/>
      <c r="AE196" s="549"/>
      <c r="AF196" s="549"/>
      <c r="AG196" s="549"/>
      <c r="AH196" s="549"/>
      <c r="AI196" s="549"/>
      <c r="AJ196" s="549"/>
      <c r="AK196" s="549"/>
      <c r="AL196" s="549"/>
      <c r="AM196" s="549"/>
      <c r="AN196" s="549"/>
      <c r="AO196" s="549"/>
      <c r="AP196" s="549"/>
      <c r="AQ196" s="549"/>
      <c r="AR196" s="549"/>
      <c r="AS196" s="549"/>
      <c r="AT196" s="549"/>
      <c r="AU196" s="549"/>
      <c r="AV196" s="549"/>
      <c r="AW196" s="549"/>
      <c r="AX196" s="549"/>
      <c r="AY196" s="549"/>
      <c r="AZ196" s="549"/>
      <c r="BA196" s="549"/>
      <c r="BB196" s="549"/>
      <c r="BC196" s="549"/>
      <c r="BD196" s="549"/>
      <c r="BE196" s="549"/>
      <c r="BF196" s="549"/>
      <c r="BG196" s="549"/>
      <c r="BH196" s="549"/>
      <c r="BI196" s="549"/>
      <c r="BJ196" s="549"/>
      <c r="BK196" s="549"/>
      <c r="BL196" s="549"/>
      <c r="BM196" s="549"/>
      <c r="BN196" s="549"/>
      <c r="BO196" s="549"/>
      <c r="BP196" s="549"/>
      <c r="BQ196" s="549"/>
      <c r="BR196" s="549"/>
      <c r="BS196" s="549"/>
      <c r="BT196" s="549"/>
      <c r="BU196" s="549"/>
      <c r="BV196" s="549"/>
      <c r="BW196" s="549"/>
      <c r="BX196" s="549"/>
      <c r="BY196" s="549"/>
      <c r="BZ196" s="549"/>
      <c r="CA196" s="549"/>
    </row>
    <row r="197" spans="1:79" ht="15.75" customHeight="1">
      <c r="A197" s="614"/>
      <c r="B197" s="549"/>
      <c r="C197" s="549"/>
      <c r="D197" s="549"/>
      <c r="E197" s="549"/>
      <c r="F197" s="549"/>
      <c r="G197" s="549"/>
      <c r="H197" s="549"/>
      <c r="I197" s="549"/>
      <c r="J197" s="549"/>
      <c r="K197" s="549"/>
      <c r="L197" s="549"/>
      <c r="M197" s="549"/>
      <c r="N197" s="549"/>
      <c r="O197" s="549"/>
      <c r="P197" s="549"/>
      <c r="Q197" s="549"/>
      <c r="R197" s="549"/>
      <c r="S197" s="549"/>
      <c r="T197" s="549"/>
      <c r="U197" s="549"/>
      <c r="V197" s="549"/>
      <c r="W197" s="549"/>
      <c r="X197" s="549"/>
      <c r="Y197" s="549"/>
      <c r="Z197" s="549"/>
      <c r="AA197" s="549"/>
      <c r="AB197" s="549"/>
      <c r="AC197" s="549"/>
      <c r="AD197" s="549"/>
      <c r="AE197" s="549"/>
      <c r="AF197" s="549"/>
      <c r="AG197" s="549"/>
      <c r="AH197" s="549"/>
      <c r="AI197" s="549"/>
      <c r="AJ197" s="549"/>
      <c r="AK197" s="549"/>
      <c r="AL197" s="549"/>
      <c r="AM197" s="549"/>
      <c r="AN197" s="549"/>
      <c r="AO197" s="549"/>
      <c r="AP197" s="549"/>
      <c r="AQ197" s="549"/>
      <c r="AR197" s="549"/>
      <c r="AS197" s="549"/>
      <c r="AT197" s="549"/>
      <c r="AU197" s="549"/>
      <c r="AV197" s="549"/>
      <c r="AW197" s="549"/>
      <c r="AX197" s="549"/>
      <c r="AY197" s="549"/>
      <c r="AZ197" s="549"/>
      <c r="BA197" s="549"/>
      <c r="BB197" s="549"/>
      <c r="BC197" s="549"/>
      <c r="BD197" s="549"/>
      <c r="BE197" s="549"/>
      <c r="BF197" s="549"/>
      <c r="BG197" s="549"/>
      <c r="BH197" s="549"/>
      <c r="BI197" s="549"/>
      <c r="BJ197" s="549"/>
      <c r="BK197" s="549"/>
      <c r="BL197" s="549"/>
      <c r="BM197" s="549"/>
      <c r="BN197" s="549"/>
      <c r="BO197" s="549"/>
      <c r="BP197" s="549"/>
      <c r="BQ197" s="549"/>
      <c r="BR197" s="549"/>
      <c r="BS197" s="549"/>
      <c r="BT197" s="549"/>
      <c r="BU197" s="549"/>
      <c r="BV197" s="549"/>
      <c r="BW197" s="549"/>
      <c r="BX197" s="549"/>
      <c r="BY197" s="549"/>
      <c r="BZ197" s="549"/>
      <c r="CA197" s="549"/>
    </row>
    <row r="198" spans="1:79" ht="15.75" customHeight="1">
      <c r="A198" s="614"/>
      <c r="B198" s="549"/>
      <c r="C198" s="549"/>
      <c r="D198" s="549"/>
      <c r="E198" s="549"/>
      <c r="F198" s="549"/>
      <c r="G198" s="549"/>
      <c r="H198" s="549"/>
      <c r="I198" s="549"/>
      <c r="J198" s="549"/>
      <c r="K198" s="549"/>
      <c r="L198" s="549"/>
      <c r="M198" s="549"/>
      <c r="N198" s="549"/>
      <c r="O198" s="549"/>
      <c r="P198" s="549"/>
      <c r="Q198" s="549"/>
      <c r="R198" s="549"/>
      <c r="S198" s="549"/>
      <c r="T198" s="549"/>
      <c r="U198" s="549"/>
      <c r="V198" s="549"/>
      <c r="W198" s="549"/>
      <c r="X198" s="549"/>
      <c r="Y198" s="549"/>
      <c r="Z198" s="549"/>
      <c r="AA198" s="549"/>
      <c r="AB198" s="549"/>
      <c r="AC198" s="549"/>
      <c r="AD198" s="549"/>
      <c r="AE198" s="549"/>
      <c r="AF198" s="549"/>
      <c r="AG198" s="549"/>
      <c r="AH198" s="549"/>
      <c r="AI198" s="549"/>
      <c r="AJ198" s="549"/>
      <c r="AK198" s="549"/>
      <c r="AL198" s="549"/>
      <c r="AM198" s="549"/>
      <c r="AN198" s="549"/>
      <c r="AO198" s="549"/>
      <c r="AP198" s="549"/>
      <c r="AQ198" s="549"/>
      <c r="AR198" s="549"/>
      <c r="AS198" s="549"/>
      <c r="AT198" s="549"/>
      <c r="AU198" s="549"/>
      <c r="AV198" s="549"/>
      <c r="AW198" s="549"/>
      <c r="AX198" s="549"/>
      <c r="AY198" s="549"/>
      <c r="AZ198" s="549"/>
      <c r="BA198" s="549"/>
      <c r="BB198" s="549"/>
      <c r="BC198" s="549"/>
      <c r="BD198" s="549"/>
      <c r="BE198" s="549"/>
      <c r="BF198" s="549"/>
      <c r="BG198" s="549"/>
      <c r="BH198" s="549"/>
      <c r="BI198" s="549"/>
      <c r="BJ198" s="549"/>
      <c r="BK198" s="549"/>
      <c r="BL198" s="549"/>
      <c r="BM198" s="549"/>
      <c r="BN198" s="549"/>
      <c r="BO198" s="549"/>
      <c r="BP198" s="549"/>
      <c r="BQ198" s="549"/>
      <c r="BR198" s="549"/>
      <c r="BS198" s="549"/>
      <c r="BT198" s="549"/>
      <c r="BU198" s="549"/>
      <c r="BV198" s="549"/>
      <c r="BW198" s="549"/>
      <c r="BX198" s="549"/>
      <c r="BY198" s="549"/>
      <c r="BZ198" s="549"/>
      <c r="CA198" s="549"/>
    </row>
    <row r="199" spans="1:79" ht="15.75" customHeight="1">
      <c r="A199" s="614"/>
      <c r="B199" s="549"/>
      <c r="C199" s="549"/>
      <c r="D199" s="549"/>
      <c r="E199" s="549"/>
      <c r="F199" s="549"/>
      <c r="G199" s="549"/>
      <c r="H199" s="549"/>
      <c r="I199" s="549"/>
      <c r="J199" s="549"/>
      <c r="K199" s="549"/>
      <c r="L199" s="549"/>
      <c r="M199" s="549"/>
      <c r="N199" s="549"/>
      <c r="O199" s="549"/>
      <c r="P199" s="549"/>
      <c r="Q199" s="549"/>
      <c r="R199" s="549"/>
      <c r="S199" s="549"/>
      <c r="T199" s="549"/>
      <c r="U199" s="549"/>
      <c r="V199" s="549"/>
      <c r="W199" s="549"/>
      <c r="X199" s="549"/>
      <c r="Y199" s="549"/>
      <c r="Z199" s="549"/>
      <c r="AA199" s="549"/>
      <c r="AB199" s="549"/>
      <c r="AC199" s="549"/>
      <c r="AD199" s="549"/>
      <c r="AE199" s="549"/>
      <c r="AF199" s="549"/>
      <c r="AG199" s="549"/>
      <c r="AH199" s="549"/>
      <c r="AI199" s="549"/>
      <c r="AJ199" s="549"/>
      <c r="AK199" s="549"/>
      <c r="AL199" s="549"/>
      <c r="AM199" s="549"/>
      <c r="AN199" s="549"/>
      <c r="AO199" s="549"/>
      <c r="AP199" s="549"/>
      <c r="AQ199" s="549"/>
      <c r="AR199" s="549"/>
      <c r="AS199" s="549"/>
      <c r="AT199" s="549"/>
      <c r="AU199" s="549"/>
      <c r="AV199" s="549"/>
      <c r="AW199" s="549"/>
      <c r="AX199" s="549"/>
      <c r="AY199" s="549"/>
      <c r="AZ199" s="549"/>
      <c r="BA199" s="549"/>
      <c r="BB199" s="549"/>
      <c r="BC199" s="549"/>
      <c r="BD199" s="549"/>
      <c r="BE199" s="549"/>
      <c r="BF199" s="549"/>
      <c r="BG199" s="549"/>
      <c r="BH199" s="549"/>
      <c r="BI199" s="549"/>
      <c r="BJ199" s="549"/>
      <c r="BK199" s="549"/>
      <c r="BL199" s="549"/>
      <c r="BM199" s="549"/>
      <c r="BN199" s="549"/>
      <c r="BO199" s="549"/>
      <c r="BP199" s="549"/>
      <c r="BQ199" s="549"/>
      <c r="BR199" s="549"/>
      <c r="BS199" s="549"/>
      <c r="BT199" s="549"/>
      <c r="BU199" s="549"/>
      <c r="BV199" s="549"/>
      <c r="BW199" s="549"/>
      <c r="BX199" s="549"/>
      <c r="BY199" s="549"/>
      <c r="BZ199" s="549"/>
      <c r="CA199" s="549"/>
    </row>
    <row r="200" spans="1:79" ht="15.75" customHeight="1">
      <c r="A200" s="614"/>
      <c r="B200" s="549"/>
      <c r="C200" s="549"/>
      <c r="D200" s="549"/>
      <c r="E200" s="549"/>
      <c r="F200" s="549"/>
      <c r="G200" s="549"/>
      <c r="H200" s="549"/>
      <c r="I200" s="549"/>
      <c r="J200" s="549"/>
      <c r="K200" s="549"/>
      <c r="L200" s="549"/>
      <c r="M200" s="549"/>
      <c r="N200" s="549"/>
      <c r="O200" s="549"/>
      <c r="P200" s="549"/>
      <c r="Q200" s="549"/>
      <c r="R200" s="549"/>
      <c r="S200" s="549"/>
      <c r="T200" s="549"/>
      <c r="U200" s="549"/>
      <c r="V200" s="549"/>
      <c r="W200" s="549"/>
      <c r="X200" s="549"/>
      <c r="Y200" s="549"/>
      <c r="Z200" s="549"/>
      <c r="AA200" s="549"/>
      <c r="AB200" s="549"/>
      <c r="AC200" s="549"/>
      <c r="AD200" s="549"/>
      <c r="AE200" s="549"/>
      <c r="AF200" s="549"/>
      <c r="AG200" s="549"/>
      <c r="AH200" s="549"/>
      <c r="AI200" s="549"/>
      <c r="AJ200" s="549"/>
      <c r="AK200" s="549"/>
      <c r="AL200" s="549"/>
      <c r="AM200" s="549"/>
      <c r="AN200" s="549"/>
      <c r="AO200" s="549"/>
      <c r="AP200" s="549"/>
      <c r="AQ200" s="549"/>
      <c r="AR200" s="549"/>
      <c r="AS200" s="549"/>
      <c r="AT200" s="549"/>
      <c r="AU200" s="549"/>
      <c r="AV200" s="549"/>
      <c r="AW200" s="549"/>
      <c r="AX200" s="549"/>
      <c r="AY200" s="549"/>
      <c r="AZ200" s="549"/>
      <c r="BA200" s="549"/>
      <c r="BB200" s="549"/>
      <c r="BC200" s="549"/>
      <c r="BD200" s="549"/>
      <c r="BE200" s="549"/>
      <c r="BF200" s="549"/>
      <c r="BG200" s="549"/>
      <c r="BH200" s="549"/>
      <c r="BI200" s="549"/>
      <c r="BJ200" s="549"/>
      <c r="BK200" s="549"/>
      <c r="BL200" s="549"/>
      <c r="BM200" s="549"/>
      <c r="BN200" s="549"/>
      <c r="BO200" s="549"/>
      <c r="BP200" s="549"/>
      <c r="BQ200" s="549"/>
      <c r="BR200" s="549"/>
      <c r="BS200" s="549"/>
      <c r="BT200" s="549"/>
      <c r="BU200" s="549"/>
      <c r="BV200" s="549"/>
      <c r="BW200" s="549"/>
      <c r="BX200" s="549"/>
      <c r="BY200" s="549"/>
      <c r="BZ200" s="549"/>
      <c r="CA200" s="549"/>
    </row>
    <row r="201" spans="1:79" ht="15.75" customHeight="1">
      <c r="A201" s="614"/>
      <c r="B201" s="549"/>
      <c r="C201" s="549"/>
      <c r="D201" s="549"/>
      <c r="E201" s="549"/>
      <c r="F201" s="549"/>
      <c r="G201" s="549"/>
      <c r="H201" s="549"/>
      <c r="I201" s="549"/>
      <c r="J201" s="549"/>
      <c r="K201" s="549"/>
      <c r="L201" s="549"/>
      <c r="M201" s="549"/>
      <c r="N201" s="549"/>
      <c r="O201" s="549"/>
      <c r="P201" s="549"/>
      <c r="Q201" s="549"/>
      <c r="R201" s="549"/>
      <c r="S201" s="549"/>
      <c r="T201" s="549"/>
      <c r="U201" s="549"/>
      <c r="V201" s="549"/>
      <c r="W201" s="549"/>
      <c r="X201" s="549"/>
      <c r="Y201" s="549"/>
      <c r="Z201" s="549"/>
      <c r="AA201" s="549"/>
      <c r="AB201" s="549"/>
      <c r="AC201" s="549"/>
      <c r="AD201" s="549"/>
      <c r="AE201" s="549"/>
      <c r="AF201" s="549"/>
      <c r="AG201" s="549"/>
      <c r="AH201" s="549"/>
      <c r="AI201" s="549"/>
      <c r="AJ201" s="549"/>
      <c r="AK201" s="549"/>
      <c r="AL201" s="549"/>
      <c r="AM201" s="549"/>
      <c r="AN201" s="549"/>
      <c r="AO201" s="549"/>
      <c r="AP201" s="549"/>
      <c r="AQ201" s="549"/>
      <c r="AR201" s="549"/>
      <c r="AS201" s="549"/>
      <c r="AT201" s="549"/>
      <c r="AU201" s="549"/>
      <c r="AV201" s="549"/>
      <c r="AW201" s="549"/>
      <c r="AX201" s="549"/>
      <c r="AY201" s="549"/>
      <c r="AZ201" s="549"/>
      <c r="BA201" s="549"/>
      <c r="BB201" s="549"/>
      <c r="BC201" s="549"/>
      <c r="BD201" s="549"/>
      <c r="BE201" s="549"/>
      <c r="BF201" s="549"/>
      <c r="BG201" s="549"/>
      <c r="BH201" s="549"/>
      <c r="BI201" s="549"/>
      <c r="BJ201" s="549"/>
      <c r="BK201" s="549"/>
      <c r="BL201" s="549"/>
      <c r="BM201" s="549"/>
      <c r="BN201" s="549"/>
      <c r="BO201" s="549"/>
      <c r="BP201" s="549"/>
      <c r="BQ201" s="549"/>
      <c r="BR201" s="549"/>
      <c r="BS201" s="549"/>
      <c r="BT201" s="549"/>
      <c r="BU201" s="549"/>
      <c r="BV201" s="549"/>
      <c r="BW201" s="549"/>
      <c r="BX201" s="549"/>
      <c r="BY201" s="549"/>
      <c r="BZ201" s="549"/>
      <c r="CA201" s="549"/>
    </row>
    <row r="202" spans="1:79" ht="15.75" customHeight="1">
      <c r="A202" s="614"/>
      <c r="B202" s="549"/>
      <c r="C202" s="549"/>
      <c r="D202" s="549"/>
      <c r="E202" s="549"/>
      <c r="F202" s="549"/>
      <c r="G202" s="549"/>
      <c r="H202" s="549"/>
      <c r="I202" s="549"/>
      <c r="J202" s="549"/>
      <c r="K202" s="549"/>
      <c r="L202" s="549"/>
      <c r="M202" s="549"/>
      <c r="N202" s="549"/>
      <c r="O202" s="549"/>
      <c r="P202" s="549"/>
      <c r="Q202" s="549"/>
      <c r="R202" s="549"/>
      <c r="S202" s="549"/>
      <c r="T202" s="549"/>
      <c r="U202" s="549"/>
      <c r="V202" s="549"/>
      <c r="W202" s="549"/>
      <c r="X202" s="549"/>
      <c r="Y202" s="549"/>
      <c r="Z202" s="549"/>
      <c r="AA202" s="549"/>
      <c r="AB202" s="549"/>
      <c r="AC202" s="549"/>
      <c r="AD202" s="549"/>
      <c r="AE202" s="549"/>
      <c r="AF202" s="549"/>
      <c r="AG202" s="549"/>
      <c r="AH202" s="549"/>
      <c r="AI202" s="549"/>
      <c r="AJ202" s="549"/>
      <c r="AK202" s="549"/>
      <c r="AL202" s="549"/>
      <c r="AM202" s="549"/>
      <c r="AN202" s="549"/>
      <c r="AO202" s="549"/>
      <c r="AP202" s="549"/>
      <c r="AQ202" s="549"/>
      <c r="AR202" s="549"/>
      <c r="AS202" s="549"/>
      <c r="AT202" s="549"/>
      <c r="AU202" s="549"/>
      <c r="AV202" s="549"/>
      <c r="AW202" s="549"/>
      <c r="AX202" s="549"/>
      <c r="AY202" s="549"/>
      <c r="AZ202" s="549"/>
      <c r="BA202" s="549"/>
      <c r="BB202" s="549"/>
      <c r="BC202" s="549"/>
      <c r="BD202" s="549"/>
      <c r="BE202" s="549"/>
      <c r="BF202" s="549"/>
      <c r="BG202" s="549"/>
      <c r="BH202" s="549"/>
      <c r="BI202" s="549"/>
      <c r="BJ202" s="549"/>
      <c r="BK202" s="549"/>
      <c r="BL202" s="549"/>
      <c r="BM202" s="549"/>
      <c r="BN202" s="549"/>
      <c r="BO202" s="549"/>
      <c r="BP202" s="549"/>
      <c r="BQ202" s="549"/>
      <c r="BR202" s="549"/>
      <c r="BS202" s="549"/>
      <c r="BT202" s="549"/>
      <c r="BU202" s="549"/>
      <c r="BV202" s="549"/>
      <c r="BW202" s="549"/>
      <c r="BX202" s="549"/>
      <c r="BY202" s="549"/>
      <c r="BZ202" s="549"/>
      <c r="CA202" s="549"/>
    </row>
    <row r="203" spans="1:79" ht="15.75" customHeight="1">
      <c r="A203" s="614"/>
      <c r="B203" s="549"/>
      <c r="C203" s="549"/>
      <c r="D203" s="549"/>
      <c r="E203" s="549"/>
      <c r="F203" s="549"/>
      <c r="G203" s="549"/>
      <c r="H203" s="549"/>
      <c r="I203" s="549"/>
      <c r="J203" s="549"/>
      <c r="K203" s="549"/>
      <c r="L203" s="549"/>
      <c r="M203" s="549"/>
      <c r="N203" s="549"/>
      <c r="O203" s="549"/>
      <c r="P203" s="549"/>
      <c r="Q203" s="549"/>
      <c r="R203" s="549"/>
      <c r="S203" s="549"/>
      <c r="T203" s="549"/>
      <c r="U203" s="549"/>
      <c r="V203" s="549"/>
      <c r="W203" s="549"/>
      <c r="X203" s="549"/>
      <c r="Y203" s="549"/>
      <c r="Z203" s="549"/>
      <c r="AA203" s="549"/>
      <c r="AB203" s="549"/>
      <c r="AC203" s="549"/>
      <c r="AD203" s="549"/>
      <c r="AE203" s="549"/>
      <c r="AF203" s="549"/>
      <c r="AG203" s="549"/>
      <c r="AH203" s="549"/>
      <c r="AI203" s="549"/>
      <c r="AJ203" s="549"/>
      <c r="AK203" s="549"/>
      <c r="AL203" s="549"/>
      <c r="AM203" s="549"/>
      <c r="AN203" s="549"/>
      <c r="AO203" s="549"/>
      <c r="AP203" s="549"/>
      <c r="AQ203" s="549"/>
      <c r="AR203" s="549"/>
      <c r="AS203" s="549"/>
      <c r="AT203" s="549"/>
      <c r="AU203" s="549"/>
      <c r="AV203" s="549"/>
      <c r="AW203" s="549"/>
      <c r="AX203" s="549"/>
      <c r="AY203" s="549"/>
      <c r="AZ203" s="549"/>
      <c r="BA203" s="549"/>
      <c r="BB203" s="549"/>
      <c r="BC203" s="549"/>
      <c r="BD203" s="549"/>
      <c r="BE203" s="549"/>
      <c r="BF203" s="549"/>
      <c r="BG203" s="549"/>
      <c r="BH203" s="549"/>
      <c r="BI203" s="549"/>
      <c r="BJ203" s="549"/>
      <c r="BK203" s="549"/>
      <c r="BL203" s="549"/>
      <c r="BM203" s="549"/>
      <c r="BN203" s="549"/>
      <c r="BO203" s="549"/>
      <c r="BP203" s="549"/>
      <c r="BQ203" s="549"/>
      <c r="BR203" s="549"/>
      <c r="BS203" s="549"/>
      <c r="BT203" s="549"/>
      <c r="BU203" s="549"/>
      <c r="BV203" s="549"/>
      <c r="BW203" s="549"/>
      <c r="BX203" s="549"/>
      <c r="BY203" s="549"/>
      <c r="BZ203" s="549"/>
      <c r="CA203" s="549"/>
    </row>
    <row r="204" spans="1:79" ht="15.75" customHeight="1">
      <c r="A204" s="614"/>
      <c r="B204" s="549"/>
      <c r="C204" s="549"/>
      <c r="D204" s="549"/>
      <c r="E204" s="549"/>
      <c r="F204" s="549"/>
      <c r="G204" s="549"/>
      <c r="H204" s="549"/>
      <c r="I204" s="549"/>
      <c r="J204" s="549"/>
      <c r="K204" s="549"/>
      <c r="L204" s="549"/>
      <c r="M204" s="549"/>
      <c r="N204" s="549"/>
      <c r="O204" s="549"/>
      <c r="P204" s="549"/>
      <c r="Q204" s="549"/>
      <c r="R204" s="549"/>
      <c r="S204" s="549"/>
      <c r="T204" s="549"/>
      <c r="U204" s="549"/>
      <c r="V204" s="549"/>
      <c r="W204" s="549"/>
      <c r="X204" s="549"/>
      <c r="Y204" s="549"/>
      <c r="Z204" s="549"/>
      <c r="AA204" s="549"/>
      <c r="AB204" s="549"/>
      <c r="AC204" s="549"/>
      <c r="AD204" s="549"/>
      <c r="AE204" s="549"/>
      <c r="AF204" s="549"/>
      <c r="AG204" s="549"/>
      <c r="AH204" s="549"/>
      <c r="AI204" s="549"/>
      <c r="AJ204" s="549"/>
      <c r="AK204" s="549"/>
      <c r="AL204" s="549"/>
      <c r="AM204" s="549"/>
      <c r="AN204" s="549"/>
      <c r="AO204" s="549"/>
      <c r="AP204" s="549"/>
      <c r="AQ204" s="549"/>
      <c r="AR204" s="549"/>
      <c r="AS204" s="549"/>
      <c r="AT204" s="549"/>
      <c r="AU204" s="549"/>
      <c r="AV204" s="549"/>
      <c r="AW204" s="549"/>
      <c r="AX204" s="549"/>
      <c r="AY204" s="549"/>
      <c r="AZ204" s="549"/>
      <c r="BA204" s="549"/>
      <c r="BB204" s="549"/>
      <c r="BC204" s="549"/>
      <c r="BD204" s="549"/>
      <c r="BE204" s="549"/>
      <c r="BF204" s="549"/>
      <c r="BG204" s="549"/>
      <c r="BH204" s="549"/>
      <c r="BI204" s="549"/>
      <c r="BJ204" s="549"/>
      <c r="BK204" s="549"/>
      <c r="BL204" s="549"/>
      <c r="BM204" s="549"/>
      <c r="BN204" s="549"/>
      <c r="BO204" s="549"/>
      <c r="BP204" s="549"/>
      <c r="BQ204" s="549"/>
      <c r="BR204" s="549"/>
      <c r="BS204" s="549"/>
      <c r="BT204" s="549"/>
      <c r="BU204" s="549"/>
      <c r="BV204" s="549"/>
      <c r="BW204" s="549"/>
      <c r="BX204" s="549"/>
      <c r="BY204" s="549"/>
      <c r="BZ204" s="549"/>
      <c r="CA204" s="549"/>
    </row>
    <row r="205" spans="1:79" ht="15.75" customHeight="1">
      <c r="A205" s="614"/>
      <c r="B205" s="549"/>
      <c r="C205" s="549"/>
      <c r="D205" s="549"/>
      <c r="E205" s="549"/>
      <c r="F205" s="549"/>
      <c r="G205" s="549"/>
      <c r="H205" s="549"/>
      <c r="I205" s="549"/>
      <c r="J205" s="549"/>
      <c r="K205" s="549"/>
      <c r="L205" s="549"/>
      <c r="M205" s="549"/>
      <c r="N205" s="549"/>
      <c r="O205" s="549"/>
      <c r="P205" s="549"/>
      <c r="Q205" s="549"/>
      <c r="R205" s="549"/>
      <c r="S205" s="549"/>
      <c r="T205" s="549"/>
      <c r="U205" s="549"/>
      <c r="V205" s="549"/>
      <c r="W205" s="549"/>
      <c r="X205" s="549"/>
      <c r="Y205" s="549"/>
      <c r="Z205" s="549"/>
      <c r="AA205" s="549"/>
      <c r="AB205" s="549"/>
      <c r="AC205" s="549"/>
      <c r="AD205" s="549"/>
      <c r="AE205" s="549"/>
      <c r="AF205" s="549"/>
      <c r="AG205" s="549"/>
      <c r="AH205" s="549"/>
      <c r="AI205" s="549"/>
      <c r="AJ205" s="549"/>
      <c r="AK205" s="549"/>
      <c r="AL205" s="549"/>
      <c r="AM205" s="549"/>
      <c r="AN205" s="549"/>
      <c r="AO205" s="549"/>
      <c r="AP205" s="549"/>
      <c r="AQ205" s="549"/>
      <c r="AR205" s="549"/>
      <c r="AS205" s="549"/>
      <c r="AT205" s="549"/>
      <c r="AU205" s="549"/>
      <c r="AV205" s="549"/>
      <c r="AW205" s="549"/>
      <c r="AX205" s="549"/>
      <c r="AY205" s="549"/>
      <c r="AZ205" s="549"/>
      <c r="BA205" s="549"/>
      <c r="BB205" s="549"/>
      <c r="BC205" s="549"/>
      <c r="BD205" s="549"/>
      <c r="BE205" s="549"/>
      <c r="BF205" s="549"/>
      <c r="BG205" s="549"/>
      <c r="BH205" s="549"/>
      <c r="BI205" s="549"/>
      <c r="BJ205" s="549"/>
      <c r="BK205" s="549"/>
      <c r="BL205" s="549"/>
      <c r="BM205" s="549"/>
      <c r="BN205" s="549"/>
      <c r="BO205" s="549"/>
      <c r="BP205" s="549"/>
      <c r="BQ205" s="549"/>
      <c r="BR205" s="549"/>
      <c r="BS205" s="549"/>
      <c r="BT205" s="549"/>
      <c r="BU205" s="549"/>
      <c r="BV205" s="549"/>
      <c r="BW205" s="549"/>
      <c r="BX205" s="549"/>
      <c r="BY205" s="549"/>
      <c r="BZ205" s="549"/>
      <c r="CA205" s="549"/>
    </row>
    <row r="206" spans="1:79" ht="15.75" customHeight="1">
      <c r="A206" s="614"/>
      <c r="B206" s="549"/>
      <c r="C206" s="549"/>
      <c r="D206" s="549"/>
      <c r="E206" s="549"/>
      <c r="F206" s="549"/>
      <c r="G206" s="549"/>
      <c r="H206" s="549"/>
      <c r="I206" s="549"/>
      <c r="J206" s="549"/>
      <c r="K206" s="549"/>
      <c r="L206" s="549"/>
      <c r="M206" s="549"/>
      <c r="N206" s="549"/>
      <c r="O206" s="549"/>
      <c r="P206" s="549"/>
      <c r="Q206" s="549"/>
      <c r="R206" s="549"/>
      <c r="S206" s="549"/>
      <c r="T206" s="549"/>
      <c r="U206" s="549"/>
      <c r="V206" s="549"/>
      <c r="W206" s="549"/>
      <c r="X206" s="549"/>
      <c r="Y206" s="549"/>
      <c r="Z206" s="549"/>
      <c r="AA206" s="549"/>
      <c r="AB206" s="549"/>
      <c r="AC206" s="549"/>
      <c r="AD206" s="549"/>
      <c r="AE206" s="549"/>
      <c r="AF206" s="549"/>
      <c r="AG206" s="549"/>
      <c r="AH206" s="549"/>
      <c r="AI206" s="549"/>
      <c r="AJ206" s="549"/>
      <c r="AK206" s="549"/>
      <c r="AL206" s="549"/>
      <c r="AM206" s="549"/>
      <c r="AN206" s="549"/>
      <c r="AO206" s="549"/>
      <c r="AP206" s="549"/>
      <c r="AQ206" s="549"/>
      <c r="AR206" s="549"/>
      <c r="AS206" s="549"/>
      <c r="AT206" s="549"/>
      <c r="AU206" s="549"/>
      <c r="AV206" s="549"/>
      <c r="AW206" s="549"/>
      <c r="AX206" s="549"/>
      <c r="AY206" s="549"/>
      <c r="AZ206" s="549"/>
      <c r="BA206" s="549"/>
      <c r="BB206" s="549"/>
      <c r="BC206" s="549"/>
      <c r="BD206" s="549"/>
      <c r="BE206" s="549"/>
      <c r="BF206" s="549"/>
      <c r="BG206" s="549"/>
      <c r="BH206" s="549"/>
      <c r="BI206" s="549"/>
      <c r="BJ206" s="549"/>
      <c r="BK206" s="549"/>
      <c r="BL206" s="549"/>
      <c r="BM206" s="549"/>
      <c r="BN206" s="549"/>
      <c r="BO206" s="549"/>
      <c r="BP206" s="549"/>
      <c r="BQ206" s="549"/>
      <c r="BR206" s="549"/>
      <c r="BS206" s="549"/>
      <c r="BT206" s="549"/>
      <c r="BU206" s="549"/>
      <c r="BV206" s="549"/>
      <c r="BW206" s="549"/>
      <c r="BX206" s="549"/>
      <c r="BY206" s="549"/>
      <c r="BZ206" s="549"/>
      <c r="CA206" s="549"/>
    </row>
    <row r="207" spans="1:79" ht="15.75" customHeight="1">
      <c r="A207" s="614"/>
      <c r="B207" s="549"/>
      <c r="C207" s="549"/>
      <c r="D207" s="549"/>
      <c r="E207" s="549"/>
      <c r="F207" s="549"/>
      <c r="G207" s="549"/>
      <c r="H207" s="549"/>
      <c r="I207" s="549"/>
      <c r="J207" s="549"/>
      <c r="K207" s="549"/>
      <c r="L207" s="549"/>
      <c r="M207" s="549"/>
      <c r="N207" s="549"/>
      <c r="O207" s="549"/>
      <c r="P207" s="549"/>
      <c r="Q207" s="549"/>
      <c r="R207" s="549"/>
      <c r="S207" s="549"/>
      <c r="T207" s="549"/>
      <c r="U207" s="549"/>
      <c r="V207" s="549"/>
      <c r="W207" s="549"/>
      <c r="X207" s="549"/>
      <c r="Y207" s="549"/>
      <c r="Z207" s="549"/>
      <c r="AA207" s="549"/>
      <c r="AB207" s="549"/>
      <c r="AC207" s="549"/>
      <c r="AD207" s="549"/>
      <c r="AE207" s="549"/>
      <c r="AF207" s="549"/>
      <c r="AG207" s="549"/>
      <c r="AH207" s="549"/>
      <c r="AI207" s="549"/>
      <c r="AJ207" s="549"/>
      <c r="AK207" s="549"/>
      <c r="AL207" s="549"/>
      <c r="AM207" s="549"/>
      <c r="AN207" s="549"/>
      <c r="AO207" s="549"/>
      <c r="AP207" s="549"/>
      <c r="AQ207" s="549"/>
      <c r="AR207" s="549"/>
      <c r="AS207" s="549"/>
      <c r="AT207" s="549"/>
      <c r="AU207" s="549"/>
      <c r="AV207" s="549"/>
      <c r="AW207" s="549"/>
      <c r="AX207" s="549"/>
      <c r="AY207" s="549"/>
      <c r="AZ207" s="549"/>
      <c r="BA207" s="549"/>
      <c r="BB207" s="549"/>
      <c r="BC207" s="549"/>
      <c r="BD207" s="549"/>
      <c r="BE207" s="549"/>
      <c r="BF207" s="549"/>
      <c r="BG207" s="549"/>
      <c r="BH207" s="549"/>
      <c r="BI207" s="549"/>
      <c r="BJ207" s="549"/>
      <c r="BK207" s="549"/>
      <c r="BL207" s="549"/>
      <c r="BM207" s="549"/>
      <c r="BN207" s="549"/>
      <c r="BO207" s="549"/>
      <c r="BP207" s="549"/>
      <c r="BQ207" s="549"/>
      <c r="BR207" s="549"/>
      <c r="BS207" s="549"/>
      <c r="BT207" s="549"/>
      <c r="BU207" s="549"/>
      <c r="BV207" s="549"/>
      <c r="BW207" s="549"/>
      <c r="BX207" s="549"/>
      <c r="BY207" s="549"/>
      <c r="BZ207" s="549"/>
      <c r="CA207" s="549"/>
    </row>
    <row r="208" spans="1:79" ht="15.75" customHeight="1">
      <c r="A208" s="614"/>
      <c r="B208" s="549"/>
      <c r="C208" s="549"/>
      <c r="D208" s="549"/>
      <c r="E208" s="549"/>
      <c r="F208" s="549"/>
      <c r="G208" s="549"/>
      <c r="H208" s="549"/>
      <c r="I208" s="549"/>
      <c r="J208" s="549"/>
      <c r="K208" s="549"/>
      <c r="L208" s="549"/>
      <c r="M208" s="549"/>
      <c r="N208" s="549"/>
      <c r="O208" s="549"/>
      <c r="P208" s="549"/>
      <c r="Q208" s="549"/>
      <c r="R208" s="549"/>
      <c r="S208" s="549"/>
      <c r="T208" s="549"/>
      <c r="U208" s="549"/>
      <c r="V208" s="549"/>
      <c r="W208" s="549"/>
      <c r="X208" s="549"/>
      <c r="Y208" s="549"/>
      <c r="Z208" s="549"/>
      <c r="AA208" s="549"/>
      <c r="AB208" s="549"/>
      <c r="AC208" s="549"/>
      <c r="AD208" s="549"/>
      <c r="AE208" s="549"/>
      <c r="AF208" s="549"/>
      <c r="AG208" s="549"/>
      <c r="AH208" s="549"/>
      <c r="AI208" s="549"/>
      <c r="AJ208" s="549"/>
      <c r="AK208" s="549"/>
      <c r="AL208" s="549"/>
      <c r="AM208" s="549"/>
      <c r="AN208" s="549"/>
      <c r="AO208" s="549"/>
      <c r="AP208" s="549"/>
      <c r="AQ208" s="549"/>
      <c r="AR208" s="549"/>
      <c r="AS208" s="549"/>
      <c r="AT208" s="549"/>
      <c r="AU208" s="549"/>
      <c r="AV208" s="549"/>
      <c r="AW208" s="549"/>
      <c r="AX208" s="549"/>
      <c r="AY208" s="549"/>
      <c r="AZ208" s="549"/>
      <c r="BA208" s="549"/>
      <c r="BB208" s="549"/>
      <c r="BC208" s="549"/>
      <c r="BD208" s="549"/>
      <c r="BE208" s="549"/>
      <c r="BF208" s="549"/>
      <c r="BG208" s="549"/>
      <c r="BH208" s="549"/>
      <c r="BI208" s="549"/>
      <c r="BJ208" s="549"/>
      <c r="BK208" s="549"/>
      <c r="BL208" s="549"/>
      <c r="BM208" s="549"/>
      <c r="BN208" s="549"/>
      <c r="BO208" s="549"/>
      <c r="BP208" s="549"/>
      <c r="BQ208" s="549"/>
      <c r="BR208" s="549"/>
      <c r="BS208" s="549"/>
      <c r="BT208" s="549"/>
      <c r="BU208" s="549"/>
      <c r="BV208" s="549"/>
      <c r="BW208" s="549"/>
      <c r="BX208" s="549"/>
      <c r="BY208" s="549"/>
      <c r="BZ208" s="549"/>
      <c r="CA208" s="549"/>
    </row>
    <row r="209" spans="1:79" ht="15.75" customHeight="1">
      <c r="A209" s="614"/>
      <c r="B209" s="549"/>
      <c r="C209" s="549"/>
      <c r="D209" s="549"/>
      <c r="E209" s="549"/>
      <c r="F209" s="549"/>
      <c r="G209" s="549"/>
      <c r="H209" s="549"/>
      <c r="I209" s="549"/>
      <c r="J209" s="549"/>
      <c r="K209" s="549"/>
      <c r="L209" s="549"/>
      <c r="M209" s="549"/>
      <c r="N209" s="549"/>
      <c r="O209" s="549"/>
      <c r="P209" s="549"/>
      <c r="Q209" s="549"/>
      <c r="R209" s="549"/>
      <c r="S209" s="549"/>
      <c r="T209" s="549"/>
      <c r="U209" s="549"/>
      <c r="V209" s="549"/>
      <c r="W209" s="549"/>
      <c r="X209" s="549"/>
      <c r="Y209" s="549"/>
      <c r="Z209" s="549"/>
      <c r="AA209" s="549"/>
      <c r="AB209" s="549"/>
      <c r="AC209" s="549"/>
      <c r="AD209" s="549"/>
      <c r="AE209" s="549"/>
      <c r="AF209" s="549"/>
      <c r="AG209" s="549"/>
      <c r="AH209" s="549"/>
      <c r="AI209" s="549"/>
      <c r="AJ209" s="549"/>
      <c r="AK209" s="549"/>
      <c r="AL209" s="549"/>
      <c r="AM209" s="549"/>
      <c r="AN209" s="549"/>
      <c r="AO209" s="549"/>
      <c r="AP209" s="549"/>
      <c r="AQ209" s="549"/>
      <c r="AR209" s="549"/>
      <c r="AS209" s="549"/>
      <c r="AT209" s="549"/>
      <c r="AU209" s="549"/>
      <c r="AV209" s="549"/>
      <c r="AW209" s="549"/>
      <c r="AX209" s="549"/>
      <c r="AY209" s="549"/>
      <c r="AZ209" s="549"/>
      <c r="BA209" s="549"/>
      <c r="BB209" s="549"/>
      <c r="BC209" s="549"/>
      <c r="BD209" s="549"/>
      <c r="BE209" s="549"/>
      <c r="BF209" s="549"/>
      <c r="BG209" s="549"/>
      <c r="BH209" s="549"/>
      <c r="BI209" s="549"/>
      <c r="BJ209" s="549"/>
      <c r="BK209" s="549"/>
      <c r="BL209" s="549"/>
      <c r="BM209" s="549"/>
      <c r="BN209" s="549"/>
      <c r="BO209" s="549"/>
      <c r="BP209" s="549"/>
      <c r="BQ209" s="549"/>
      <c r="BR209" s="549"/>
      <c r="BS209" s="549"/>
      <c r="BT209" s="549"/>
      <c r="BU209" s="549"/>
      <c r="BV209" s="549"/>
      <c r="BW209" s="549"/>
      <c r="BX209" s="549"/>
      <c r="BY209" s="549"/>
      <c r="BZ209" s="549"/>
      <c r="CA209" s="549"/>
    </row>
    <row r="210" spans="1:79" ht="15.75" customHeight="1">
      <c r="A210" s="614"/>
      <c r="B210" s="549"/>
      <c r="C210" s="549"/>
      <c r="D210" s="549"/>
      <c r="E210" s="549"/>
      <c r="F210" s="549"/>
      <c r="G210" s="549"/>
      <c r="H210" s="549"/>
      <c r="I210" s="549"/>
      <c r="J210" s="549"/>
      <c r="K210" s="549"/>
      <c r="L210" s="549"/>
      <c r="M210" s="549"/>
      <c r="N210" s="549"/>
      <c r="O210" s="549"/>
      <c r="P210" s="549"/>
      <c r="Q210" s="549"/>
      <c r="R210" s="549"/>
      <c r="S210" s="549"/>
      <c r="T210" s="549"/>
      <c r="U210" s="549"/>
      <c r="V210" s="549"/>
      <c r="W210" s="549"/>
      <c r="X210" s="549"/>
      <c r="Y210" s="549"/>
      <c r="Z210" s="549"/>
      <c r="AA210" s="549"/>
      <c r="AB210" s="549"/>
      <c r="AC210" s="549"/>
      <c r="AD210" s="549"/>
      <c r="AE210" s="549"/>
      <c r="AF210" s="549"/>
      <c r="AG210" s="549"/>
      <c r="AH210" s="549"/>
      <c r="AI210" s="549"/>
      <c r="AJ210" s="549"/>
      <c r="AK210" s="549"/>
      <c r="AL210" s="549"/>
      <c r="AM210" s="549"/>
      <c r="AN210" s="549"/>
      <c r="AO210" s="549"/>
      <c r="AP210" s="549"/>
      <c r="AQ210" s="549"/>
      <c r="AR210" s="549"/>
      <c r="AS210" s="549"/>
      <c r="AT210" s="549"/>
      <c r="AU210" s="549"/>
      <c r="AV210" s="549"/>
      <c r="AW210" s="549"/>
      <c r="AX210" s="549"/>
      <c r="AY210" s="549"/>
      <c r="AZ210" s="549"/>
      <c r="BA210" s="549"/>
      <c r="BB210" s="549"/>
      <c r="BC210" s="549"/>
      <c r="BD210" s="549"/>
      <c r="BE210" s="549"/>
      <c r="BF210" s="549"/>
      <c r="BG210" s="549"/>
      <c r="BH210" s="549"/>
      <c r="BI210" s="549"/>
      <c r="BJ210" s="549"/>
      <c r="BK210" s="549"/>
      <c r="BL210" s="549"/>
      <c r="BM210" s="549"/>
      <c r="BN210" s="549"/>
      <c r="BO210" s="549"/>
      <c r="BP210" s="549"/>
      <c r="BQ210" s="549"/>
      <c r="BR210" s="549"/>
      <c r="BS210" s="549"/>
      <c r="BT210" s="549"/>
      <c r="BU210" s="549"/>
      <c r="BV210" s="549"/>
      <c r="BW210" s="549"/>
      <c r="BX210" s="549"/>
      <c r="BY210" s="549"/>
      <c r="BZ210" s="549"/>
      <c r="CA210" s="549"/>
    </row>
    <row r="211" spans="1:79" ht="15.75" customHeight="1">
      <c r="A211" s="614"/>
      <c r="B211" s="549"/>
      <c r="C211" s="549"/>
      <c r="D211" s="549"/>
      <c r="E211" s="549"/>
      <c r="F211" s="549"/>
      <c r="G211" s="549"/>
      <c r="H211" s="549"/>
      <c r="I211" s="549"/>
      <c r="J211" s="549"/>
      <c r="K211" s="549"/>
      <c r="L211" s="549"/>
      <c r="M211" s="549"/>
      <c r="N211" s="549"/>
      <c r="O211" s="549"/>
      <c r="P211" s="549"/>
      <c r="Q211" s="549"/>
      <c r="R211" s="549"/>
      <c r="S211" s="549"/>
      <c r="T211" s="549"/>
      <c r="U211" s="549"/>
      <c r="V211" s="549"/>
      <c r="W211" s="549"/>
      <c r="X211" s="549"/>
      <c r="Y211" s="549"/>
      <c r="Z211" s="549"/>
      <c r="AA211" s="549"/>
      <c r="AB211" s="549"/>
      <c r="AC211" s="549"/>
      <c r="AD211" s="549"/>
      <c r="AE211" s="549"/>
      <c r="AF211" s="549"/>
      <c r="AG211" s="549"/>
      <c r="AH211" s="549"/>
      <c r="AI211" s="549"/>
      <c r="AJ211" s="549"/>
      <c r="AK211" s="549"/>
      <c r="AL211" s="549"/>
      <c r="AM211" s="549"/>
      <c r="AN211" s="549"/>
      <c r="AO211" s="549"/>
      <c r="AP211" s="549"/>
      <c r="AQ211" s="549"/>
      <c r="AR211" s="549"/>
      <c r="AS211" s="549"/>
      <c r="AT211" s="549"/>
      <c r="AU211" s="549"/>
      <c r="AV211" s="549"/>
      <c r="AW211" s="549"/>
      <c r="AX211" s="549"/>
      <c r="AY211" s="549"/>
      <c r="AZ211" s="549"/>
      <c r="BA211" s="549"/>
      <c r="BB211" s="549"/>
      <c r="BC211" s="549"/>
      <c r="BD211" s="549"/>
      <c r="BE211" s="549"/>
      <c r="BF211" s="549"/>
      <c r="BG211" s="549"/>
      <c r="BH211" s="549"/>
      <c r="BI211" s="549"/>
      <c r="BJ211" s="549"/>
      <c r="BK211" s="549"/>
      <c r="BL211" s="549"/>
      <c r="BM211" s="549"/>
      <c r="BN211" s="549"/>
      <c r="BO211" s="549"/>
      <c r="BP211" s="549"/>
      <c r="BQ211" s="549"/>
      <c r="BR211" s="549"/>
      <c r="BS211" s="549"/>
      <c r="BT211" s="549"/>
      <c r="BU211" s="549"/>
      <c r="BV211" s="549"/>
      <c r="BW211" s="549"/>
      <c r="BX211" s="549"/>
      <c r="BY211" s="549"/>
      <c r="BZ211" s="549"/>
      <c r="CA211" s="549"/>
    </row>
    <row r="212" spans="1:79" ht="15.75" customHeight="1">
      <c r="A212" s="614"/>
      <c r="B212" s="549"/>
      <c r="C212" s="549"/>
      <c r="D212" s="549"/>
      <c r="E212" s="549"/>
      <c r="F212" s="549"/>
      <c r="G212" s="549"/>
      <c r="H212" s="549"/>
      <c r="I212" s="549"/>
      <c r="J212" s="549"/>
      <c r="K212" s="549"/>
      <c r="L212" s="549"/>
      <c r="M212" s="549"/>
      <c r="N212" s="549"/>
      <c r="O212" s="549"/>
      <c r="P212" s="549"/>
      <c r="Q212" s="549"/>
      <c r="R212" s="549"/>
      <c r="S212" s="549"/>
      <c r="T212" s="549"/>
      <c r="U212" s="549"/>
      <c r="V212" s="549"/>
      <c r="W212" s="549"/>
      <c r="X212" s="549"/>
      <c r="Y212" s="549"/>
      <c r="Z212" s="549"/>
      <c r="AA212" s="549"/>
      <c r="AB212" s="549"/>
      <c r="AC212" s="549"/>
      <c r="AD212" s="549"/>
      <c r="AE212" s="549"/>
      <c r="AF212" s="549"/>
      <c r="AG212" s="549"/>
      <c r="AH212" s="549"/>
      <c r="AI212" s="549"/>
      <c r="AJ212" s="549"/>
      <c r="AK212" s="549"/>
      <c r="AL212" s="549"/>
      <c r="AM212" s="549"/>
      <c r="AN212" s="549"/>
      <c r="AO212" s="549"/>
      <c r="AP212" s="549"/>
      <c r="AQ212" s="549"/>
      <c r="AR212" s="549"/>
      <c r="AS212" s="549"/>
      <c r="AT212" s="549"/>
      <c r="AU212" s="549"/>
      <c r="AV212" s="549"/>
      <c r="AW212" s="549"/>
      <c r="AX212" s="549"/>
      <c r="AY212" s="549"/>
      <c r="AZ212" s="549"/>
      <c r="BA212" s="549"/>
      <c r="BB212" s="549"/>
      <c r="BC212" s="549"/>
      <c r="BD212" s="549"/>
      <c r="BE212" s="549"/>
      <c r="BF212" s="549"/>
      <c r="BG212" s="549"/>
      <c r="BH212" s="549"/>
      <c r="BI212" s="549"/>
      <c r="BJ212" s="549"/>
      <c r="BK212" s="549"/>
      <c r="BL212" s="549"/>
      <c r="BM212" s="549"/>
      <c r="BN212" s="549"/>
      <c r="BO212" s="549"/>
      <c r="BP212" s="549"/>
      <c r="BQ212" s="549"/>
      <c r="BR212" s="549"/>
      <c r="BS212" s="549"/>
      <c r="BT212" s="549"/>
      <c r="BU212" s="549"/>
      <c r="BV212" s="549"/>
      <c r="BW212" s="549"/>
      <c r="BX212" s="549"/>
      <c r="BY212" s="549"/>
      <c r="BZ212" s="549"/>
      <c r="CA212" s="549"/>
    </row>
    <row r="213" spans="1:79" ht="15.75" customHeight="1">
      <c r="A213" s="614"/>
      <c r="B213" s="549"/>
      <c r="C213" s="549"/>
      <c r="D213" s="549"/>
      <c r="E213" s="549"/>
      <c r="F213" s="549"/>
      <c r="G213" s="549"/>
      <c r="H213" s="549"/>
      <c r="I213" s="549"/>
      <c r="J213" s="549"/>
      <c r="K213" s="549"/>
      <c r="L213" s="549"/>
      <c r="M213" s="549"/>
      <c r="N213" s="549"/>
      <c r="O213" s="549"/>
      <c r="P213" s="549"/>
      <c r="Q213" s="549"/>
      <c r="R213" s="549"/>
      <c r="S213" s="549"/>
      <c r="T213" s="549"/>
      <c r="U213" s="549"/>
      <c r="V213" s="549"/>
      <c r="W213" s="549"/>
      <c r="X213" s="549"/>
      <c r="Y213" s="549"/>
      <c r="Z213" s="549"/>
      <c r="AA213" s="549"/>
      <c r="AB213" s="549"/>
      <c r="AC213" s="549"/>
      <c r="AD213" s="549"/>
      <c r="AE213" s="549"/>
      <c r="AF213" s="549"/>
      <c r="AG213" s="549"/>
      <c r="AH213" s="549"/>
      <c r="AI213" s="549"/>
      <c r="AJ213" s="549"/>
      <c r="AK213" s="549"/>
      <c r="AL213" s="549"/>
      <c r="AM213" s="549"/>
      <c r="AN213" s="549"/>
      <c r="AO213" s="549"/>
      <c r="AP213" s="549"/>
      <c r="AQ213" s="549"/>
      <c r="AR213" s="549"/>
      <c r="AS213" s="549"/>
      <c r="AT213" s="549"/>
      <c r="AU213" s="549"/>
      <c r="AV213" s="549"/>
      <c r="AW213" s="549"/>
      <c r="AX213" s="549"/>
      <c r="AY213" s="549"/>
      <c r="AZ213" s="549"/>
      <c r="BA213" s="549"/>
      <c r="BB213" s="549"/>
      <c r="BC213" s="549"/>
      <c r="BD213" s="549"/>
      <c r="BE213" s="549"/>
      <c r="BF213" s="549"/>
      <c r="BG213" s="549"/>
      <c r="BH213" s="549"/>
      <c r="BI213" s="549"/>
      <c r="BJ213" s="549"/>
      <c r="BK213" s="549"/>
      <c r="BL213" s="549"/>
      <c r="BM213" s="549"/>
      <c r="BN213" s="549"/>
      <c r="BO213" s="549"/>
      <c r="BP213" s="549"/>
      <c r="BQ213" s="549"/>
      <c r="BR213" s="549"/>
      <c r="BS213" s="549"/>
      <c r="BT213" s="549"/>
      <c r="BU213" s="549"/>
      <c r="BV213" s="549"/>
      <c r="BW213" s="549"/>
      <c r="BX213" s="549"/>
      <c r="BY213" s="549"/>
      <c r="BZ213" s="549"/>
      <c r="CA213" s="549"/>
    </row>
    <row r="214" spans="1:79" ht="15.75" customHeight="1">
      <c r="A214" s="614"/>
      <c r="B214" s="549"/>
      <c r="C214" s="549"/>
      <c r="D214" s="549"/>
      <c r="E214" s="549"/>
      <c r="F214" s="549"/>
      <c r="G214" s="549"/>
      <c r="H214" s="549"/>
      <c r="I214" s="549"/>
      <c r="J214" s="549"/>
      <c r="K214" s="549"/>
      <c r="L214" s="549"/>
      <c r="M214" s="549"/>
      <c r="N214" s="549"/>
      <c r="O214" s="549"/>
      <c r="P214" s="549"/>
      <c r="Q214" s="549"/>
      <c r="R214" s="549"/>
      <c r="S214" s="549"/>
      <c r="T214" s="549"/>
      <c r="U214" s="549"/>
      <c r="V214" s="549"/>
      <c r="W214" s="549"/>
      <c r="X214" s="549"/>
      <c r="Y214" s="549"/>
      <c r="Z214" s="549"/>
      <c r="AA214" s="549"/>
      <c r="AB214" s="549"/>
      <c r="AC214" s="549"/>
      <c r="AD214" s="549"/>
      <c r="AE214" s="549"/>
      <c r="AF214" s="549"/>
      <c r="AG214" s="549"/>
      <c r="AH214" s="549"/>
      <c r="AI214" s="549"/>
      <c r="AJ214" s="549"/>
      <c r="AK214" s="549"/>
      <c r="AL214" s="549"/>
      <c r="AM214" s="549"/>
      <c r="AN214" s="549"/>
      <c r="AO214" s="549"/>
      <c r="AP214" s="549"/>
      <c r="AQ214" s="549"/>
      <c r="AR214" s="549"/>
      <c r="AS214" s="549"/>
      <c r="AT214" s="549"/>
      <c r="AU214" s="549"/>
      <c r="AV214" s="549"/>
      <c r="AW214" s="549"/>
      <c r="AX214" s="549"/>
      <c r="AY214" s="549"/>
      <c r="AZ214" s="549"/>
      <c r="BA214" s="549"/>
      <c r="BB214" s="549"/>
      <c r="BC214" s="549"/>
      <c r="BD214" s="549"/>
      <c r="BE214" s="549"/>
      <c r="BF214" s="549"/>
      <c r="BG214" s="549"/>
      <c r="BH214" s="549"/>
      <c r="BI214" s="549"/>
      <c r="BJ214" s="549"/>
      <c r="BK214" s="549"/>
      <c r="BL214" s="549"/>
      <c r="BM214" s="549"/>
      <c r="BN214" s="549"/>
      <c r="BO214" s="549"/>
      <c r="BP214" s="549"/>
      <c r="BQ214" s="549"/>
      <c r="BR214" s="549"/>
      <c r="BS214" s="549"/>
      <c r="BT214" s="549"/>
      <c r="BU214" s="549"/>
      <c r="BV214" s="549"/>
      <c r="BW214" s="549"/>
      <c r="BX214" s="549"/>
      <c r="BY214" s="549"/>
      <c r="BZ214" s="549"/>
      <c r="CA214" s="549"/>
    </row>
    <row r="215" spans="1:79" ht="15.75" customHeight="1">
      <c r="A215" s="614"/>
      <c r="B215" s="549"/>
      <c r="C215" s="549"/>
      <c r="D215" s="549"/>
      <c r="E215" s="549"/>
      <c r="F215" s="549"/>
      <c r="G215" s="549"/>
      <c r="H215" s="549"/>
      <c r="I215" s="549"/>
      <c r="J215" s="549"/>
      <c r="K215" s="549"/>
      <c r="L215" s="549"/>
      <c r="M215" s="549"/>
      <c r="N215" s="549"/>
      <c r="O215" s="549"/>
      <c r="P215" s="549"/>
      <c r="Q215" s="549"/>
      <c r="R215" s="549"/>
      <c r="S215" s="549"/>
      <c r="T215" s="549"/>
      <c r="U215" s="549"/>
      <c r="V215" s="549"/>
      <c r="W215" s="549"/>
      <c r="X215" s="549"/>
      <c r="Y215" s="549"/>
      <c r="Z215" s="549"/>
      <c r="AA215" s="549"/>
      <c r="AB215" s="549"/>
      <c r="AC215" s="549"/>
      <c r="AD215" s="549"/>
      <c r="AE215" s="549"/>
      <c r="AF215" s="549"/>
      <c r="AG215" s="549"/>
      <c r="AH215" s="549"/>
      <c r="AI215" s="549"/>
      <c r="AJ215" s="549"/>
      <c r="AK215" s="549"/>
      <c r="AL215" s="549"/>
      <c r="AM215" s="549"/>
      <c r="AN215" s="549"/>
      <c r="AO215" s="549"/>
      <c r="AP215" s="549"/>
      <c r="AQ215" s="549"/>
      <c r="AR215" s="549"/>
      <c r="AS215" s="549"/>
      <c r="AT215" s="549"/>
      <c r="AU215" s="549"/>
      <c r="AV215" s="549"/>
      <c r="AW215" s="549"/>
      <c r="AX215" s="549"/>
      <c r="AY215" s="549"/>
      <c r="AZ215" s="549"/>
      <c r="BA215" s="549"/>
      <c r="BB215" s="549"/>
      <c r="BC215" s="549"/>
      <c r="BD215" s="549"/>
      <c r="BE215" s="549"/>
      <c r="BF215" s="549"/>
      <c r="BG215" s="549"/>
      <c r="BH215" s="549"/>
      <c r="BI215" s="549"/>
      <c r="BJ215" s="549"/>
      <c r="BK215" s="549"/>
      <c r="BL215" s="549"/>
      <c r="BM215" s="549"/>
      <c r="BN215" s="549"/>
      <c r="BO215" s="549"/>
      <c r="BP215" s="549"/>
      <c r="BQ215" s="549"/>
      <c r="BR215" s="549"/>
      <c r="BS215" s="549"/>
      <c r="BT215" s="549"/>
      <c r="BU215" s="549"/>
      <c r="BV215" s="549"/>
      <c r="BW215" s="549"/>
      <c r="BX215" s="549"/>
      <c r="BY215" s="549"/>
      <c r="BZ215" s="549"/>
      <c r="CA215" s="549"/>
    </row>
    <row r="216" spans="1:79" ht="15.75" customHeight="1">
      <c r="A216" s="614"/>
      <c r="B216" s="549"/>
      <c r="C216" s="549"/>
      <c r="D216" s="549"/>
      <c r="E216" s="549"/>
      <c r="F216" s="549"/>
      <c r="G216" s="549"/>
      <c r="H216" s="549"/>
      <c r="I216" s="549"/>
      <c r="J216" s="549"/>
      <c r="K216" s="549"/>
      <c r="L216" s="549"/>
      <c r="M216" s="549"/>
      <c r="N216" s="549"/>
      <c r="O216" s="549"/>
      <c r="P216" s="549"/>
      <c r="Q216" s="549"/>
      <c r="R216" s="549"/>
      <c r="S216" s="549"/>
      <c r="T216" s="549"/>
      <c r="U216" s="549"/>
      <c r="V216" s="549"/>
      <c r="W216" s="549"/>
      <c r="X216" s="549"/>
      <c r="Y216" s="549"/>
      <c r="Z216" s="549"/>
      <c r="AA216" s="549"/>
      <c r="AB216" s="549"/>
      <c r="AC216" s="549"/>
      <c r="AD216" s="549"/>
      <c r="AE216" s="549"/>
      <c r="AF216" s="549"/>
      <c r="AG216" s="549"/>
      <c r="AH216" s="549"/>
      <c r="AI216" s="549"/>
      <c r="AJ216" s="549"/>
      <c r="AK216" s="549"/>
      <c r="AL216" s="549"/>
      <c r="AM216" s="549"/>
      <c r="AN216" s="549"/>
      <c r="AO216" s="549"/>
      <c r="AP216" s="549"/>
      <c r="AQ216" s="549"/>
      <c r="AR216" s="549"/>
      <c r="AS216" s="549"/>
      <c r="AT216" s="549"/>
      <c r="AU216" s="549"/>
      <c r="AV216" s="549"/>
      <c r="AW216" s="549"/>
      <c r="AX216" s="549"/>
      <c r="AY216" s="549"/>
      <c r="AZ216" s="549"/>
      <c r="BA216" s="549"/>
      <c r="BB216" s="549"/>
      <c r="BC216" s="549"/>
      <c r="BD216" s="549"/>
      <c r="BE216" s="549"/>
      <c r="BF216" s="549"/>
      <c r="BG216" s="549"/>
      <c r="BH216" s="549"/>
      <c r="BI216" s="549"/>
      <c r="BJ216" s="549"/>
      <c r="BK216" s="549"/>
      <c r="BL216" s="549"/>
      <c r="BM216" s="549"/>
      <c r="BN216" s="549"/>
      <c r="BO216" s="549"/>
      <c r="BP216" s="549"/>
      <c r="BQ216" s="549"/>
      <c r="BR216" s="549"/>
      <c r="BS216" s="549"/>
      <c r="BT216" s="549"/>
      <c r="BU216" s="549"/>
      <c r="BV216" s="549"/>
      <c r="BW216" s="549"/>
      <c r="BX216" s="549"/>
      <c r="BY216" s="549"/>
      <c r="BZ216" s="549"/>
      <c r="CA216" s="549"/>
    </row>
    <row r="217" spans="1:79" ht="15.75" customHeight="1">
      <c r="A217" s="614"/>
      <c r="B217" s="549"/>
      <c r="C217" s="549"/>
      <c r="D217" s="549"/>
      <c r="E217" s="549"/>
      <c r="F217" s="549"/>
      <c r="G217" s="549"/>
      <c r="H217" s="549"/>
      <c r="I217" s="549"/>
      <c r="J217" s="549"/>
      <c r="K217" s="549"/>
      <c r="L217" s="549"/>
      <c r="M217" s="549"/>
      <c r="N217" s="549"/>
      <c r="O217" s="549"/>
      <c r="P217" s="549"/>
      <c r="Q217" s="549"/>
      <c r="R217" s="549"/>
      <c r="S217" s="549"/>
      <c r="T217" s="549"/>
      <c r="U217" s="549"/>
      <c r="V217" s="549"/>
      <c r="W217" s="549"/>
      <c r="X217" s="549"/>
      <c r="Y217" s="549"/>
      <c r="Z217" s="549"/>
      <c r="AA217" s="549"/>
      <c r="AB217" s="549"/>
      <c r="AC217" s="549"/>
      <c r="AD217" s="549"/>
      <c r="AE217" s="549"/>
      <c r="AF217" s="549"/>
      <c r="AG217" s="549"/>
      <c r="AH217" s="549"/>
      <c r="AI217" s="549"/>
      <c r="AJ217" s="549"/>
      <c r="AK217" s="549"/>
      <c r="AL217" s="549"/>
      <c r="AM217" s="549"/>
      <c r="AN217" s="549"/>
      <c r="AO217" s="549"/>
      <c r="AP217" s="549"/>
      <c r="AQ217" s="549"/>
      <c r="AR217" s="549"/>
      <c r="AS217" s="549"/>
      <c r="AT217" s="549"/>
      <c r="AU217" s="549"/>
      <c r="AV217" s="549"/>
      <c r="AW217" s="549"/>
      <c r="AX217" s="549"/>
      <c r="AY217" s="549"/>
      <c r="AZ217" s="549"/>
      <c r="BA217" s="549"/>
      <c r="BB217" s="549"/>
      <c r="BC217" s="549"/>
      <c r="BD217" s="549"/>
      <c r="BE217" s="549"/>
      <c r="BF217" s="549"/>
      <c r="BG217" s="549"/>
      <c r="BH217" s="549"/>
      <c r="BI217" s="549"/>
      <c r="BJ217" s="549"/>
      <c r="BK217" s="549"/>
      <c r="BL217" s="549"/>
      <c r="BM217" s="549"/>
      <c r="BN217" s="549"/>
      <c r="BO217" s="549"/>
      <c r="BP217" s="549"/>
      <c r="BQ217" s="549"/>
      <c r="BR217" s="549"/>
      <c r="BS217" s="549"/>
      <c r="BT217" s="549"/>
      <c r="BU217" s="549"/>
      <c r="BV217" s="549"/>
      <c r="BW217" s="549"/>
      <c r="BX217" s="549"/>
      <c r="BY217" s="549"/>
      <c r="BZ217" s="549"/>
      <c r="CA217" s="549"/>
    </row>
    <row r="218" spans="1:79" ht="15.75" customHeight="1">
      <c r="A218" s="614"/>
      <c r="B218" s="549"/>
      <c r="C218" s="549"/>
      <c r="D218" s="549"/>
      <c r="E218" s="549"/>
      <c r="F218" s="549"/>
      <c r="G218" s="549"/>
      <c r="H218" s="549"/>
      <c r="I218" s="549"/>
      <c r="J218" s="549"/>
      <c r="K218" s="549"/>
      <c r="L218" s="549"/>
      <c r="M218" s="549"/>
      <c r="N218" s="549"/>
      <c r="O218" s="549"/>
      <c r="P218" s="549"/>
      <c r="Q218" s="549"/>
      <c r="R218" s="549"/>
      <c r="S218" s="549"/>
      <c r="T218" s="549"/>
      <c r="U218" s="549"/>
      <c r="V218" s="549"/>
      <c r="W218" s="549"/>
      <c r="X218" s="549"/>
      <c r="Y218" s="549"/>
      <c r="Z218" s="549"/>
      <c r="AA218" s="549"/>
      <c r="AB218" s="549"/>
      <c r="AC218" s="549"/>
      <c r="AD218" s="549"/>
      <c r="AE218" s="549"/>
      <c r="AF218" s="549"/>
      <c r="AG218" s="549"/>
      <c r="AH218" s="549"/>
      <c r="AI218" s="549"/>
      <c r="AJ218" s="549"/>
      <c r="AK218" s="549"/>
      <c r="AL218" s="549"/>
      <c r="AM218" s="549"/>
      <c r="AN218" s="549"/>
      <c r="AO218" s="549"/>
      <c r="AP218" s="549"/>
      <c r="AQ218" s="549"/>
      <c r="AR218" s="549"/>
      <c r="AS218" s="549"/>
      <c r="AT218" s="549"/>
      <c r="AU218" s="549"/>
      <c r="AV218" s="549"/>
      <c r="AW218" s="549"/>
      <c r="AX218" s="549"/>
      <c r="AY218" s="549"/>
      <c r="AZ218" s="549"/>
      <c r="BA218" s="549"/>
      <c r="BB218" s="549"/>
      <c r="BC218" s="549"/>
      <c r="BD218" s="549"/>
      <c r="BE218" s="549"/>
      <c r="BF218" s="549"/>
      <c r="BG218" s="549"/>
      <c r="BH218" s="549"/>
      <c r="BI218" s="549"/>
      <c r="BJ218" s="549"/>
      <c r="BK218" s="549"/>
      <c r="BL218" s="549"/>
      <c r="BM218" s="549"/>
      <c r="BN218" s="549"/>
      <c r="BO218" s="549"/>
      <c r="BP218" s="549"/>
      <c r="BQ218" s="549"/>
      <c r="BR218" s="549"/>
      <c r="BS218" s="549"/>
      <c r="BT218" s="549"/>
      <c r="BU218" s="549"/>
      <c r="BV218" s="549"/>
      <c r="BW218" s="549"/>
      <c r="BX218" s="549"/>
      <c r="BY218" s="549"/>
      <c r="BZ218" s="549"/>
      <c r="CA218" s="549"/>
    </row>
    <row r="219" spans="1:79" ht="15.75" customHeight="1">
      <c r="A219" s="614"/>
      <c r="B219" s="549"/>
      <c r="C219" s="549"/>
      <c r="D219" s="549"/>
      <c r="E219" s="549"/>
      <c r="F219" s="549"/>
      <c r="G219" s="549"/>
      <c r="H219" s="549"/>
      <c r="I219" s="549"/>
      <c r="J219" s="549"/>
      <c r="K219" s="549"/>
      <c r="L219" s="549"/>
      <c r="M219" s="549"/>
      <c r="N219" s="549"/>
      <c r="O219" s="549"/>
      <c r="P219" s="549"/>
      <c r="Q219" s="549"/>
      <c r="R219" s="549"/>
      <c r="S219" s="549"/>
      <c r="T219" s="549"/>
      <c r="U219" s="549"/>
      <c r="V219" s="549"/>
      <c r="W219" s="549"/>
      <c r="X219" s="549"/>
      <c r="Y219" s="549"/>
      <c r="Z219" s="549"/>
      <c r="AA219" s="549"/>
      <c r="AB219" s="549"/>
      <c r="AC219" s="549"/>
      <c r="AD219" s="549"/>
      <c r="AE219" s="549"/>
      <c r="AF219" s="549"/>
      <c r="AG219" s="549"/>
      <c r="AH219" s="549"/>
      <c r="AI219" s="549"/>
      <c r="AJ219" s="549"/>
      <c r="AK219" s="549"/>
      <c r="AL219" s="549"/>
      <c r="AM219" s="549"/>
      <c r="AN219" s="549"/>
      <c r="AO219" s="549"/>
      <c r="AP219" s="549"/>
      <c r="AQ219" s="549"/>
      <c r="AR219" s="549"/>
      <c r="AS219" s="549"/>
      <c r="AT219" s="549"/>
      <c r="AU219" s="549"/>
      <c r="AV219" s="549"/>
      <c r="AW219" s="549"/>
      <c r="AX219" s="549"/>
      <c r="AY219" s="549"/>
      <c r="AZ219" s="549"/>
      <c r="BA219" s="549"/>
      <c r="BB219" s="549"/>
      <c r="BC219" s="549"/>
      <c r="BD219" s="549"/>
      <c r="BE219" s="549"/>
      <c r="BF219" s="549"/>
      <c r="BG219" s="549"/>
      <c r="BH219" s="549"/>
      <c r="BI219" s="549"/>
      <c r="BJ219" s="549"/>
      <c r="BK219" s="549"/>
      <c r="BL219" s="549"/>
      <c r="BM219" s="549"/>
      <c r="BN219" s="549"/>
      <c r="BO219" s="549"/>
      <c r="BP219" s="549"/>
      <c r="BQ219" s="549"/>
      <c r="BR219" s="549"/>
      <c r="BS219" s="549"/>
      <c r="BT219" s="549"/>
      <c r="BU219" s="549"/>
      <c r="BV219" s="549"/>
      <c r="BW219" s="549"/>
      <c r="BX219" s="549"/>
      <c r="BY219" s="549"/>
      <c r="BZ219" s="549"/>
      <c r="CA219" s="549"/>
    </row>
    <row r="220" spans="1:79" ht="15.75" customHeight="1">
      <c r="A220" s="614"/>
      <c r="B220" s="549"/>
      <c r="C220" s="549"/>
      <c r="D220" s="549"/>
      <c r="E220" s="549"/>
      <c r="F220" s="549"/>
      <c r="G220" s="549"/>
      <c r="H220" s="549"/>
      <c r="I220" s="549"/>
      <c r="J220" s="549"/>
      <c r="K220" s="549"/>
      <c r="L220" s="549"/>
      <c r="M220" s="549"/>
      <c r="N220" s="549"/>
      <c r="O220" s="549"/>
      <c r="P220" s="549"/>
      <c r="Q220" s="549"/>
      <c r="R220" s="549"/>
      <c r="S220" s="549"/>
      <c r="T220" s="549"/>
      <c r="U220" s="549"/>
      <c r="V220" s="549"/>
      <c r="W220" s="549"/>
      <c r="X220" s="549"/>
      <c r="Y220" s="549"/>
      <c r="Z220" s="549"/>
      <c r="AA220" s="549"/>
      <c r="AB220" s="549"/>
      <c r="AC220" s="549"/>
      <c r="AD220" s="549"/>
      <c r="AE220" s="549"/>
      <c r="AF220" s="549"/>
      <c r="AG220" s="549"/>
      <c r="AH220" s="549"/>
      <c r="AI220" s="549"/>
      <c r="AJ220" s="549"/>
      <c r="AK220" s="549"/>
      <c r="AL220" s="549"/>
      <c r="AM220" s="549"/>
      <c r="AN220" s="549"/>
      <c r="AO220" s="549"/>
      <c r="AP220" s="549"/>
      <c r="AQ220" s="549"/>
      <c r="AR220" s="549"/>
      <c r="AS220" s="549"/>
      <c r="AT220" s="549"/>
      <c r="AU220" s="549"/>
      <c r="AV220" s="549"/>
      <c r="AW220" s="549"/>
      <c r="AX220" s="549"/>
      <c r="AY220" s="549"/>
      <c r="AZ220" s="549"/>
      <c r="BA220" s="549"/>
      <c r="BB220" s="549"/>
      <c r="BC220" s="549"/>
      <c r="BD220" s="549"/>
      <c r="BE220" s="549"/>
      <c r="BF220" s="549"/>
      <c r="BG220" s="549"/>
      <c r="BH220" s="549"/>
      <c r="BI220" s="549"/>
      <c r="BJ220" s="549"/>
      <c r="BK220" s="549"/>
      <c r="BL220" s="549"/>
      <c r="BM220" s="549"/>
      <c r="BN220" s="549"/>
      <c r="BO220" s="549"/>
      <c r="BP220" s="549"/>
      <c r="BQ220" s="549"/>
      <c r="BR220" s="549"/>
      <c r="BS220" s="549"/>
      <c r="BT220" s="549"/>
      <c r="BU220" s="549"/>
      <c r="BV220" s="549"/>
      <c r="BW220" s="549"/>
      <c r="BX220" s="549"/>
      <c r="BY220" s="549"/>
      <c r="BZ220" s="549"/>
      <c r="CA220" s="549"/>
    </row>
    <row r="221" spans="1:79" ht="15.75" customHeight="1">
      <c r="A221" s="614"/>
      <c r="B221" s="549"/>
      <c r="C221" s="549"/>
      <c r="D221" s="549"/>
      <c r="E221" s="549"/>
      <c r="F221" s="549"/>
      <c r="G221" s="549"/>
      <c r="H221" s="549"/>
      <c r="I221" s="549"/>
      <c r="J221" s="549"/>
      <c r="K221" s="549"/>
      <c r="L221" s="549"/>
      <c r="M221" s="549"/>
      <c r="N221" s="549"/>
      <c r="O221" s="549"/>
      <c r="P221" s="549"/>
      <c r="Q221" s="549"/>
      <c r="R221" s="549"/>
      <c r="S221" s="549"/>
      <c r="T221" s="549"/>
      <c r="U221" s="549"/>
      <c r="V221" s="549"/>
      <c r="W221" s="549"/>
      <c r="X221" s="549"/>
      <c r="Y221" s="549"/>
      <c r="Z221" s="549"/>
      <c r="AA221" s="549"/>
      <c r="AB221" s="549"/>
      <c r="AC221" s="549"/>
      <c r="AD221" s="549"/>
      <c r="AE221" s="549"/>
      <c r="AF221" s="549"/>
      <c r="AG221" s="549"/>
      <c r="AH221" s="549"/>
      <c r="AI221" s="549"/>
      <c r="AJ221" s="549"/>
      <c r="AK221" s="549"/>
      <c r="AL221" s="549"/>
      <c r="AM221" s="549"/>
      <c r="AN221" s="549"/>
      <c r="AO221" s="549"/>
      <c r="AP221" s="549"/>
      <c r="AQ221" s="549"/>
      <c r="AR221" s="549"/>
      <c r="AS221" s="549"/>
      <c r="AT221" s="549"/>
      <c r="AU221" s="549"/>
      <c r="AV221" s="549"/>
      <c r="AW221" s="549"/>
      <c r="AX221" s="549"/>
      <c r="AY221" s="549"/>
      <c r="AZ221" s="549"/>
      <c r="BA221" s="549"/>
      <c r="BB221" s="549"/>
      <c r="BC221" s="549"/>
      <c r="BD221" s="549"/>
      <c r="BE221" s="549"/>
      <c r="BF221" s="549"/>
      <c r="BG221" s="549"/>
      <c r="BH221" s="549"/>
      <c r="BI221" s="549"/>
      <c r="BJ221" s="549"/>
      <c r="BK221" s="549"/>
      <c r="BL221" s="549"/>
      <c r="BM221" s="549"/>
      <c r="BN221" s="549"/>
      <c r="BO221" s="549"/>
      <c r="BP221" s="549"/>
      <c r="BQ221" s="549"/>
      <c r="BR221" s="549"/>
      <c r="BS221" s="549"/>
      <c r="BT221" s="549"/>
      <c r="BU221" s="549"/>
      <c r="BV221" s="549"/>
      <c r="BW221" s="549"/>
      <c r="BX221" s="549"/>
      <c r="BY221" s="549"/>
      <c r="BZ221" s="549"/>
      <c r="CA221" s="549"/>
    </row>
    <row r="222" spans="1:79" ht="15.75" customHeight="1">
      <c r="A222" s="614"/>
      <c r="B222" s="549"/>
      <c r="C222" s="549"/>
      <c r="D222" s="549"/>
      <c r="E222" s="549"/>
      <c r="F222" s="549"/>
      <c r="G222" s="549"/>
      <c r="H222" s="549"/>
      <c r="I222" s="549"/>
      <c r="J222" s="549"/>
      <c r="K222" s="549"/>
      <c r="L222" s="549"/>
      <c r="M222" s="549"/>
      <c r="N222" s="549"/>
      <c r="O222" s="549"/>
      <c r="P222" s="549"/>
      <c r="Q222" s="549"/>
      <c r="R222" s="549"/>
      <c r="S222" s="549"/>
      <c r="T222" s="549"/>
      <c r="U222" s="549"/>
      <c r="V222" s="549"/>
      <c r="W222" s="549"/>
      <c r="X222" s="549"/>
      <c r="Y222" s="549"/>
      <c r="Z222" s="549"/>
      <c r="AA222" s="549"/>
      <c r="AB222" s="549"/>
      <c r="AC222" s="549"/>
      <c r="AD222" s="549"/>
      <c r="AE222" s="549"/>
      <c r="AF222" s="549"/>
      <c r="AG222" s="549"/>
      <c r="AH222" s="549"/>
      <c r="AI222" s="549"/>
      <c r="AJ222" s="549"/>
      <c r="AK222" s="549"/>
      <c r="AL222" s="549"/>
      <c r="AM222" s="549"/>
      <c r="AN222" s="549"/>
      <c r="AO222" s="549"/>
      <c r="AP222" s="549"/>
      <c r="AQ222" s="549"/>
      <c r="AR222" s="549"/>
      <c r="AS222" s="549"/>
      <c r="AT222" s="549"/>
      <c r="AU222" s="549"/>
      <c r="AV222" s="549"/>
      <c r="AW222" s="549"/>
      <c r="AX222" s="549"/>
      <c r="AY222" s="549"/>
      <c r="AZ222" s="549"/>
      <c r="BA222" s="549"/>
      <c r="BB222" s="549"/>
      <c r="BC222" s="549"/>
      <c r="BD222" s="549"/>
      <c r="BE222" s="549"/>
      <c r="BF222" s="549"/>
      <c r="BG222" s="549"/>
      <c r="BH222" s="549"/>
      <c r="BI222" s="549"/>
      <c r="BJ222" s="549"/>
      <c r="BK222" s="549"/>
      <c r="BL222" s="549"/>
      <c r="BM222" s="549"/>
      <c r="BN222" s="549"/>
      <c r="BO222" s="549"/>
      <c r="BP222" s="549"/>
      <c r="BQ222" s="549"/>
      <c r="BR222" s="549"/>
      <c r="BS222" s="549"/>
      <c r="BT222" s="549"/>
      <c r="BU222" s="549"/>
      <c r="BV222" s="549"/>
      <c r="BW222" s="549"/>
      <c r="BX222" s="549"/>
      <c r="BY222" s="549"/>
      <c r="BZ222" s="549"/>
      <c r="CA222" s="549"/>
    </row>
    <row r="223" spans="1:79" ht="15.75" customHeight="1">
      <c r="A223" s="614"/>
      <c r="B223" s="549"/>
      <c r="C223" s="549"/>
      <c r="D223" s="549"/>
      <c r="E223" s="549"/>
      <c r="F223" s="549"/>
      <c r="G223" s="549"/>
      <c r="H223" s="549"/>
      <c r="I223" s="549"/>
      <c r="J223" s="549"/>
      <c r="K223" s="549"/>
      <c r="L223" s="549"/>
      <c r="M223" s="549"/>
      <c r="N223" s="549"/>
      <c r="O223" s="549"/>
      <c r="P223" s="549"/>
      <c r="Q223" s="549"/>
      <c r="R223" s="549"/>
      <c r="S223" s="549"/>
      <c r="T223" s="549"/>
      <c r="U223" s="549"/>
      <c r="V223" s="549"/>
      <c r="W223" s="549"/>
      <c r="X223" s="549"/>
      <c r="Y223" s="549"/>
      <c r="Z223" s="549"/>
      <c r="AA223" s="549"/>
      <c r="AB223" s="549"/>
      <c r="AC223" s="549"/>
      <c r="AD223" s="549"/>
      <c r="AE223" s="549"/>
      <c r="AF223" s="549"/>
      <c r="AG223" s="549"/>
      <c r="AH223" s="549"/>
      <c r="AI223" s="549"/>
      <c r="AJ223" s="549"/>
      <c r="AK223" s="549"/>
      <c r="AL223" s="549"/>
      <c r="AM223" s="549"/>
      <c r="AN223" s="549"/>
      <c r="AO223" s="549"/>
      <c r="AP223" s="549"/>
      <c r="AQ223" s="549"/>
      <c r="AR223" s="549"/>
      <c r="AS223" s="549"/>
      <c r="AT223" s="549"/>
      <c r="AU223" s="549"/>
      <c r="AV223" s="549"/>
      <c r="AW223" s="549"/>
      <c r="AX223" s="549"/>
      <c r="AY223" s="549"/>
      <c r="AZ223" s="549"/>
      <c r="BA223" s="549"/>
      <c r="BB223" s="549"/>
      <c r="BC223" s="549"/>
      <c r="BD223" s="549"/>
      <c r="BE223" s="549"/>
      <c r="BF223" s="549"/>
      <c r="BG223" s="549"/>
      <c r="BH223" s="549"/>
      <c r="BI223" s="549"/>
      <c r="BJ223" s="549"/>
      <c r="BK223" s="549"/>
      <c r="BL223" s="549"/>
      <c r="BM223" s="549"/>
      <c r="BN223" s="549"/>
      <c r="BO223" s="549"/>
      <c r="BP223" s="549"/>
      <c r="BQ223" s="549"/>
      <c r="BR223" s="549"/>
      <c r="BS223" s="549"/>
      <c r="BT223" s="549"/>
      <c r="BU223" s="549"/>
      <c r="BV223" s="549"/>
      <c r="BW223" s="549"/>
      <c r="BX223" s="549"/>
      <c r="BY223" s="549"/>
      <c r="BZ223" s="549"/>
      <c r="CA223" s="549"/>
    </row>
    <row r="224" spans="1:79" ht="15.75" customHeight="1">
      <c r="A224" s="614"/>
      <c r="B224" s="549"/>
      <c r="C224" s="549"/>
      <c r="D224" s="549"/>
      <c r="E224" s="549"/>
      <c r="F224" s="549"/>
      <c r="G224" s="549"/>
      <c r="H224" s="549"/>
      <c r="I224" s="549"/>
      <c r="J224" s="549"/>
      <c r="K224" s="549"/>
      <c r="L224" s="549"/>
      <c r="M224" s="549"/>
      <c r="N224" s="549"/>
      <c r="O224" s="549"/>
      <c r="P224" s="549"/>
      <c r="Q224" s="549"/>
      <c r="R224" s="549"/>
      <c r="S224" s="549"/>
      <c r="T224" s="549"/>
      <c r="U224" s="549"/>
      <c r="V224" s="549"/>
      <c r="W224" s="549"/>
      <c r="X224" s="549"/>
      <c r="Y224" s="549"/>
      <c r="Z224" s="549"/>
      <c r="AA224" s="549"/>
      <c r="AB224" s="549"/>
      <c r="AC224" s="549"/>
      <c r="AD224" s="549"/>
      <c r="AE224" s="549"/>
      <c r="AF224" s="549"/>
      <c r="AG224" s="549"/>
      <c r="AH224" s="549"/>
      <c r="AI224" s="549"/>
      <c r="AJ224" s="549"/>
      <c r="AK224" s="549"/>
      <c r="AL224" s="549"/>
      <c r="AM224" s="549"/>
      <c r="AN224" s="549"/>
      <c r="AO224" s="549"/>
      <c r="AP224" s="549"/>
      <c r="AQ224" s="549"/>
      <c r="AR224" s="549"/>
      <c r="AS224" s="549"/>
      <c r="AT224" s="549"/>
      <c r="AU224" s="549"/>
      <c r="AV224" s="549"/>
      <c r="AW224" s="549"/>
      <c r="AX224" s="549"/>
      <c r="AY224" s="549"/>
      <c r="AZ224" s="549"/>
      <c r="BA224" s="549"/>
      <c r="BB224" s="549"/>
      <c r="BC224" s="549"/>
      <c r="BD224" s="549"/>
      <c r="BE224" s="549"/>
      <c r="BF224" s="549"/>
      <c r="BG224" s="549"/>
      <c r="BH224" s="549"/>
      <c r="BI224" s="549"/>
      <c r="BJ224" s="549"/>
      <c r="BK224" s="549"/>
      <c r="BL224" s="549"/>
      <c r="BM224" s="549"/>
      <c r="BN224" s="549"/>
      <c r="BO224" s="549"/>
      <c r="BP224" s="549"/>
      <c r="BQ224" s="549"/>
      <c r="BR224" s="549"/>
      <c r="BS224" s="549"/>
      <c r="BT224" s="549"/>
      <c r="BU224" s="549"/>
      <c r="BV224" s="549"/>
      <c r="BW224" s="549"/>
      <c r="BX224" s="549"/>
      <c r="BY224" s="549"/>
      <c r="BZ224" s="549"/>
      <c r="CA224" s="549"/>
    </row>
    <row r="225" spans="1:79" ht="15.75" customHeight="1">
      <c r="A225" s="614"/>
      <c r="B225" s="549"/>
      <c r="C225" s="549"/>
      <c r="D225" s="549"/>
      <c r="E225" s="549"/>
      <c r="F225" s="549"/>
      <c r="G225" s="549"/>
      <c r="H225" s="549"/>
      <c r="I225" s="549"/>
      <c r="J225" s="549"/>
      <c r="K225" s="549"/>
      <c r="L225" s="549"/>
      <c r="M225" s="549"/>
      <c r="N225" s="549"/>
      <c r="O225" s="549"/>
      <c r="P225" s="549"/>
      <c r="Q225" s="549"/>
      <c r="R225" s="549"/>
      <c r="S225" s="549"/>
      <c r="T225" s="549"/>
      <c r="U225" s="549"/>
      <c r="V225" s="549"/>
      <c r="W225" s="549"/>
      <c r="X225" s="549"/>
      <c r="Y225" s="549"/>
      <c r="Z225" s="549"/>
      <c r="AA225" s="549"/>
      <c r="AB225" s="549"/>
      <c r="AC225" s="549"/>
      <c r="AD225" s="549"/>
      <c r="AE225" s="549"/>
      <c r="AF225" s="549"/>
      <c r="AG225" s="549"/>
      <c r="AH225" s="549"/>
      <c r="AI225" s="549"/>
      <c r="AJ225" s="549"/>
      <c r="AK225" s="549"/>
      <c r="AL225" s="549"/>
      <c r="AM225" s="549"/>
      <c r="AN225" s="549"/>
      <c r="AO225" s="549"/>
      <c r="AP225" s="549"/>
      <c r="AQ225" s="549"/>
      <c r="AR225" s="549"/>
      <c r="AS225" s="549"/>
      <c r="AT225" s="549"/>
      <c r="AU225" s="549"/>
      <c r="AV225" s="549"/>
      <c r="AW225" s="549"/>
      <c r="AX225" s="549"/>
      <c r="AY225" s="549"/>
      <c r="AZ225" s="549"/>
      <c r="BA225" s="549"/>
      <c r="BB225" s="549"/>
      <c r="BC225" s="549"/>
      <c r="BD225" s="549"/>
      <c r="BE225" s="549"/>
      <c r="BF225" s="549"/>
      <c r="BG225" s="549"/>
      <c r="BH225" s="549"/>
      <c r="BI225" s="549"/>
      <c r="BJ225" s="549"/>
      <c r="BK225" s="549"/>
      <c r="BL225" s="549"/>
      <c r="BM225" s="549"/>
      <c r="BN225" s="549"/>
      <c r="BO225" s="549"/>
      <c r="BP225" s="549"/>
      <c r="BQ225" s="549"/>
      <c r="BR225" s="549"/>
      <c r="BS225" s="549"/>
      <c r="BT225" s="549"/>
      <c r="BU225" s="549"/>
      <c r="BV225" s="549"/>
      <c r="BW225" s="549"/>
      <c r="BX225" s="549"/>
      <c r="BY225" s="549"/>
      <c r="BZ225" s="549"/>
      <c r="CA225" s="549"/>
    </row>
    <row r="226" spans="1:79" ht="15.75" customHeight="1">
      <c r="A226" s="614"/>
      <c r="B226" s="549"/>
      <c r="C226" s="549"/>
      <c r="D226" s="549"/>
      <c r="E226" s="549"/>
      <c r="F226" s="549"/>
      <c r="G226" s="549"/>
      <c r="H226" s="549"/>
      <c r="I226" s="549"/>
      <c r="J226" s="549"/>
      <c r="K226" s="549"/>
      <c r="L226" s="549"/>
      <c r="M226" s="549"/>
      <c r="N226" s="549"/>
      <c r="O226" s="549"/>
      <c r="P226" s="549"/>
      <c r="Q226" s="549"/>
      <c r="R226" s="549"/>
      <c r="S226" s="549"/>
      <c r="T226" s="549"/>
      <c r="U226" s="549"/>
      <c r="V226" s="549"/>
      <c r="W226" s="549"/>
      <c r="X226" s="549"/>
      <c r="Y226" s="549"/>
      <c r="Z226" s="549"/>
      <c r="AA226" s="549"/>
      <c r="AB226" s="549"/>
      <c r="AC226" s="549"/>
      <c r="AD226" s="549"/>
      <c r="AE226" s="549"/>
      <c r="AF226" s="549"/>
      <c r="AG226" s="549"/>
      <c r="AH226" s="549"/>
      <c r="AI226" s="549"/>
      <c r="AJ226" s="549"/>
      <c r="AK226" s="549"/>
      <c r="AL226" s="549"/>
      <c r="AM226" s="549"/>
      <c r="AN226" s="549"/>
      <c r="AO226" s="549"/>
      <c r="AP226" s="549"/>
      <c r="AQ226" s="549"/>
      <c r="AR226" s="549"/>
      <c r="AS226" s="549"/>
      <c r="AT226" s="549"/>
      <c r="AU226" s="549"/>
      <c r="AV226" s="549"/>
      <c r="AW226" s="549"/>
      <c r="AX226" s="549"/>
      <c r="AY226" s="549"/>
      <c r="AZ226" s="549"/>
      <c r="BA226" s="549"/>
      <c r="BB226" s="549"/>
      <c r="BC226" s="549"/>
      <c r="BD226" s="549"/>
      <c r="BE226" s="549"/>
      <c r="BF226" s="549"/>
      <c r="BG226" s="549"/>
      <c r="BH226" s="549"/>
      <c r="BI226" s="549"/>
      <c r="BJ226" s="549"/>
      <c r="BK226" s="549"/>
      <c r="BL226" s="549"/>
      <c r="BM226" s="549"/>
      <c r="BN226" s="549"/>
      <c r="BO226" s="549"/>
      <c r="BP226" s="549"/>
      <c r="BQ226" s="549"/>
      <c r="BR226" s="549"/>
      <c r="BS226" s="549"/>
      <c r="BT226" s="549"/>
      <c r="BU226" s="549"/>
      <c r="BV226" s="549"/>
      <c r="BW226" s="549"/>
      <c r="BX226" s="549"/>
      <c r="BY226" s="549"/>
      <c r="BZ226" s="549"/>
      <c r="CA226" s="549"/>
    </row>
    <row r="227" spans="1:79" ht="15.75" customHeight="1">
      <c r="A227" s="614"/>
      <c r="B227" s="549"/>
      <c r="C227" s="549"/>
      <c r="D227" s="549"/>
      <c r="E227" s="549"/>
      <c r="F227" s="549"/>
      <c r="G227" s="549"/>
      <c r="H227" s="549"/>
      <c r="I227" s="549"/>
      <c r="J227" s="549"/>
      <c r="K227" s="549"/>
      <c r="L227" s="549"/>
      <c r="M227" s="549"/>
      <c r="N227" s="549"/>
      <c r="O227" s="549"/>
      <c r="P227" s="549"/>
      <c r="Q227" s="549"/>
      <c r="R227" s="549"/>
      <c r="S227" s="549"/>
      <c r="T227" s="549"/>
      <c r="U227" s="549"/>
      <c r="V227" s="549"/>
      <c r="W227" s="549"/>
      <c r="X227" s="549"/>
      <c r="Y227" s="549"/>
      <c r="Z227" s="549"/>
      <c r="AA227" s="549"/>
      <c r="AB227" s="549"/>
      <c r="AC227" s="549"/>
      <c r="AD227" s="549"/>
      <c r="AE227" s="549"/>
      <c r="AF227" s="549"/>
      <c r="AG227" s="549"/>
      <c r="AH227" s="549"/>
      <c r="AI227" s="549"/>
      <c r="AJ227" s="549"/>
      <c r="AK227" s="549"/>
      <c r="AL227" s="549"/>
      <c r="AM227" s="549"/>
      <c r="AN227" s="549"/>
      <c r="AO227" s="549"/>
      <c r="AP227" s="549"/>
      <c r="AQ227" s="549"/>
      <c r="AR227" s="549"/>
      <c r="AS227" s="549"/>
      <c r="AT227" s="549"/>
      <c r="AU227" s="549"/>
      <c r="AV227" s="549"/>
      <c r="AW227" s="549"/>
      <c r="AX227" s="549"/>
      <c r="AY227" s="549"/>
      <c r="AZ227" s="549"/>
      <c r="BA227" s="549"/>
      <c r="BB227" s="549"/>
      <c r="BC227" s="549"/>
      <c r="BD227" s="549"/>
      <c r="BE227" s="549"/>
      <c r="BF227" s="549"/>
      <c r="BG227" s="549"/>
      <c r="BH227" s="549"/>
      <c r="BI227" s="549"/>
      <c r="BJ227" s="549"/>
      <c r="BK227" s="549"/>
      <c r="BL227" s="549"/>
      <c r="BM227" s="549"/>
      <c r="BN227" s="549"/>
      <c r="BO227" s="549"/>
      <c r="BP227" s="549"/>
      <c r="BQ227" s="549"/>
      <c r="BR227" s="549"/>
      <c r="BS227" s="549"/>
      <c r="BT227" s="549"/>
      <c r="BU227" s="549"/>
      <c r="BV227" s="549"/>
      <c r="BW227" s="549"/>
      <c r="BX227" s="549"/>
      <c r="BY227" s="549"/>
      <c r="BZ227" s="549"/>
      <c r="CA227" s="549"/>
    </row>
    <row r="228" spans="1:79" ht="15.75" customHeight="1">
      <c r="A228" s="614"/>
      <c r="B228" s="549"/>
      <c r="C228" s="549"/>
      <c r="D228" s="549"/>
      <c r="E228" s="549"/>
      <c r="F228" s="549"/>
      <c r="G228" s="549"/>
      <c r="H228" s="549"/>
      <c r="I228" s="549"/>
      <c r="J228" s="549"/>
      <c r="K228" s="549"/>
      <c r="L228" s="549"/>
      <c r="M228" s="549"/>
      <c r="N228" s="549"/>
      <c r="O228" s="549"/>
      <c r="P228" s="549"/>
      <c r="Q228" s="549"/>
      <c r="R228" s="549"/>
      <c r="S228" s="549"/>
      <c r="T228" s="549"/>
      <c r="U228" s="549"/>
      <c r="V228" s="549"/>
      <c r="W228" s="549"/>
      <c r="X228" s="549"/>
      <c r="Y228" s="549"/>
      <c r="Z228" s="549"/>
      <c r="AA228" s="549"/>
      <c r="AB228" s="549"/>
      <c r="AC228" s="549"/>
      <c r="AD228" s="549"/>
      <c r="AE228" s="549"/>
      <c r="AF228" s="549"/>
      <c r="AG228" s="549"/>
      <c r="AH228" s="549"/>
      <c r="AI228" s="549"/>
      <c r="AJ228" s="549"/>
      <c r="AK228" s="549"/>
      <c r="AL228" s="549"/>
      <c r="AM228" s="549"/>
      <c r="AN228" s="549"/>
      <c r="AO228" s="549"/>
      <c r="AP228" s="549"/>
      <c r="AQ228" s="549"/>
      <c r="AR228" s="549"/>
      <c r="AS228" s="549"/>
      <c r="AT228" s="549"/>
      <c r="AU228" s="549"/>
      <c r="AV228" s="549"/>
      <c r="AW228" s="549"/>
      <c r="AX228" s="549"/>
      <c r="AY228" s="549"/>
      <c r="AZ228" s="549"/>
      <c r="BA228" s="549"/>
      <c r="BB228" s="549"/>
      <c r="BC228" s="549"/>
      <c r="BD228" s="549"/>
      <c r="BE228" s="549"/>
      <c r="BF228" s="549"/>
      <c r="BG228" s="549"/>
      <c r="BH228" s="549"/>
      <c r="BI228" s="549"/>
      <c r="BJ228" s="549"/>
      <c r="BK228" s="549"/>
      <c r="BL228" s="549"/>
      <c r="BM228" s="549"/>
      <c r="BN228" s="549"/>
      <c r="BO228" s="549"/>
      <c r="BP228" s="549"/>
      <c r="BQ228" s="549"/>
      <c r="BR228" s="549"/>
      <c r="BS228" s="549"/>
      <c r="BT228" s="549"/>
      <c r="BU228" s="549"/>
      <c r="BV228" s="549"/>
      <c r="BW228" s="549"/>
      <c r="BX228" s="549"/>
      <c r="BY228" s="549"/>
      <c r="BZ228" s="549"/>
      <c r="CA228" s="549"/>
    </row>
    <row r="229" spans="1:79" ht="15.75" customHeight="1">
      <c r="A229" s="614"/>
      <c r="B229" s="549"/>
      <c r="C229" s="549"/>
      <c r="D229" s="549"/>
      <c r="E229" s="549"/>
      <c r="F229" s="549"/>
      <c r="G229" s="549"/>
      <c r="H229" s="549"/>
      <c r="I229" s="549"/>
      <c r="J229" s="549"/>
      <c r="K229" s="549"/>
      <c r="L229" s="549"/>
      <c r="M229" s="549"/>
      <c r="N229" s="549"/>
      <c r="O229" s="549"/>
      <c r="P229" s="549"/>
      <c r="Q229" s="549"/>
      <c r="R229" s="549"/>
      <c r="S229" s="549"/>
      <c r="T229" s="549"/>
      <c r="U229" s="549"/>
      <c r="V229" s="549"/>
      <c r="W229" s="549"/>
      <c r="X229" s="549"/>
      <c r="Y229" s="549"/>
      <c r="Z229" s="549"/>
      <c r="AA229" s="549"/>
      <c r="AB229" s="549"/>
      <c r="AC229" s="549"/>
      <c r="AD229" s="549"/>
      <c r="AE229" s="549"/>
      <c r="AF229" s="549"/>
      <c r="AG229" s="549"/>
      <c r="AH229" s="549"/>
      <c r="AI229" s="549"/>
      <c r="AJ229" s="549"/>
      <c r="AK229" s="549"/>
      <c r="AL229" s="549"/>
      <c r="AM229" s="549"/>
      <c r="AN229" s="549"/>
      <c r="AO229" s="549"/>
      <c r="AP229" s="549"/>
      <c r="AQ229" s="549"/>
      <c r="AR229" s="549"/>
      <c r="AS229" s="549"/>
      <c r="AT229" s="549"/>
      <c r="AU229" s="549"/>
      <c r="AV229" s="549"/>
      <c r="AW229" s="549"/>
      <c r="AX229" s="549"/>
      <c r="AY229" s="549"/>
      <c r="AZ229" s="549"/>
      <c r="BA229" s="549"/>
      <c r="BB229" s="549"/>
      <c r="BC229" s="549"/>
      <c r="BD229" s="549"/>
      <c r="BE229" s="549"/>
      <c r="BF229" s="549"/>
      <c r="BG229" s="549"/>
      <c r="BH229" s="549"/>
      <c r="BI229" s="549"/>
      <c r="BJ229" s="549"/>
      <c r="BK229" s="549"/>
      <c r="BL229" s="549"/>
      <c r="BM229" s="549"/>
      <c r="BN229" s="549"/>
      <c r="BO229" s="549"/>
      <c r="BP229" s="549"/>
      <c r="BQ229" s="549"/>
      <c r="BR229" s="549"/>
      <c r="BS229" s="549"/>
      <c r="BT229" s="549"/>
      <c r="BU229" s="549"/>
      <c r="BV229" s="549"/>
      <c r="BW229" s="549"/>
      <c r="BX229" s="549"/>
      <c r="BY229" s="549"/>
      <c r="BZ229" s="549"/>
      <c r="CA229" s="549"/>
    </row>
    <row r="230" spans="1:79" ht="15.75" customHeight="1">
      <c r="A230" s="614"/>
      <c r="B230" s="549"/>
      <c r="C230" s="549"/>
      <c r="D230" s="549"/>
      <c r="E230" s="549"/>
      <c r="F230" s="549"/>
      <c r="G230" s="549"/>
      <c r="H230" s="549"/>
      <c r="I230" s="549"/>
      <c r="J230" s="549"/>
      <c r="K230" s="549"/>
      <c r="L230" s="549"/>
      <c r="M230" s="549"/>
      <c r="N230" s="549"/>
      <c r="O230" s="549"/>
      <c r="P230" s="549"/>
      <c r="Q230" s="549"/>
      <c r="R230" s="549"/>
      <c r="S230" s="549"/>
      <c r="T230" s="549"/>
      <c r="U230" s="549"/>
      <c r="V230" s="549"/>
      <c r="W230" s="549"/>
      <c r="X230" s="549"/>
      <c r="Y230" s="549"/>
      <c r="Z230" s="549"/>
      <c r="AA230" s="549"/>
      <c r="AB230" s="549"/>
      <c r="AC230" s="549"/>
      <c r="AD230" s="549"/>
      <c r="AE230" s="549"/>
      <c r="AF230" s="549"/>
      <c r="AG230" s="549"/>
      <c r="AH230" s="549"/>
      <c r="AI230" s="549"/>
      <c r="AJ230" s="549"/>
      <c r="AK230" s="549"/>
      <c r="AL230" s="549"/>
      <c r="AM230" s="549"/>
      <c r="AN230" s="549"/>
      <c r="AO230" s="549"/>
      <c r="AP230" s="549"/>
      <c r="AQ230" s="549"/>
      <c r="AR230" s="549"/>
      <c r="AS230" s="549"/>
      <c r="AT230" s="549"/>
      <c r="AU230" s="549"/>
      <c r="AV230" s="549"/>
      <c r="AW230" s="549"/>
      <c r="AX230" s="549"/>
      <c r="AY230" s="549"/>
      <c r="AZ230" s="549"/>
      <c r="BA230" s="549"/>
      <c r="BB230" s="549"/>
      <c r="BC230" s="549"/>
      <c r="BD230" s="549"/>
      <c r="BE230" s="549"/>
      <c r="BF230" s="549"/>
      <c r="BG230" s="549"/>
      <c r="BH230" s="549"/>
      <c r="BI230" s="549"/>
      <c r="BJ230" s="549"/>
      <c r="BK230" s="549"/>
      <c r="BL230" s="549"/>
      <c r="BM230" s="549"/>
      <c r="BN230" s="549"/>
      <c r="BO230" s="549"/>
      <c r="BP230" s="549"/>
      <c r="BQ230" s="549"/>
      <c r="BR230" s="549"/>
      <c r="BS230" s="549"/>
      <c r="BT230" s="549"/>
      <c r="BU230" s="549"/>
      <c r="BV230" s="549"/>
      <c r="BW230" s="549"/>
      <c r="BX230" s="549"/>
      <c r="BY230" s="549"/>
      <c r="BZ230" s="549"/>
      <c r="CA230" s="549"/>
    </row>
    <row r="231" spans="1:79" ht="15.75" customHeight="1">
      <c r="A231" s="614"/>
      <c r="B231" s="549"/>
      <c r="C231" s="549"/>
      <c r="D231" s="549"/>
      <c r="E231" s="549"/>
      <c r="F231" s="549"/>
      <c r="G231" s="549"/>
      <c r="H231" s="549"/>
      <c r="I231" s="549"/>
      <c r="J231" s="549"/>
      <c r="K231" s="549"/>
      <c r="L231" s="549"/>
      <c r="M231" s="549"/>
      <c r="N231" s="549"/>
      <c r="O231" s="549"/>
      <c r="P231" s="549"/>
      <c r="Q231" s="549"/>
      <c r="R231" s="549"/>
      <c r="S231" s="549"/>
      <c r="T231" s="549"/>
      <c r="U231" s="549"/>
      <c r="V231" s="549"/>
      <c r="W231" s="549"/>
      <c r="X231" s="549"/>
      <c r="Y231" s="549"/>
      <c r="Z231" s="549"/>
      <c r="AA231" s="549"/>
      <c r="AB231" s="549"/>
      <c r="AC231" s="549"/>
      <c r="AD231" s="549"/>
      <c r="AE231" s="549"/>
      <c r="AF231" s="549"/>
      <c r="AG231" s="549"/>
      <c r="AH231" s="549"/>
      <c r="AI231" s="549"/>
      <c r="AJ231" s="549"/>
      <c r="AK231" s="549"/>
      <c r="AL231" s="549"/>
      <c r="AM231" s="549"/>
      <c r="AN231" s="549"/>
      <c r="AO231" s="549"/>
      <c r="AP231" s="549"/>
      <c r="AQ231" s="549"/>
      <c r="AR231" s="549"/>
      <c r="AS231" s="549"/>
      <c r="AT231" s="549"/>
      <c r="AU231" s="549"/>
      <c r="AV231" s="549"/>
      <c r="AW231" s="549"/>
      <c r="AX231" s="549"/>
      <c r="AY231" s="549"/>
      <c r="AZ231" s="549"/>
      <c r="BA231" s="549"/>
      <c r="BB231" s="549"/>
      <c r="BC231" s="549"/>
      <c r="BD231" s="549"/>
      <c r="BE231" s="549"/>
      <c r="BF231" s="549"/>
      <c r="BG231" s="549"/>
      <c r="BH231" s="549"/>
      <c r="BI231" s="549"/>
      <c r="BJ231" s="549"/>
      <c r="BK231" s="549"/>
      <c r="BL231" s="549"/>
      <c r="BM231" s="549"/>
      <c r="BN231" s="549"/>
      <c r="BO231" s="549"/>
      <c r="BP231" s="549"/>
      <c r="BQ231" s="549"/>
      <c r="BR231" s="549"/>
      <c r="BS231" s="549"/>
      <c r="BT231" s="549"/>
      <c r="BU231" s="549"/>
      <c r="BV231" s="549"/>
      <c r="BW231" s="549"/>
      <c r="BX231" s="549"/>
      <c r="BY231" s="549"/>
      <c r="BZ231" s="549"/>
      <c r="CA231" s="549"/>
    </row>
    <row r="232" spans="1:79" ht="15.75" customHeight="1">
      <c r="A232" s="614"/>
      <c r="B232" s="549"/>
      <c r="C232" s="549"/>
      <c r="D232" s="549"/>
      <c r="E232" s="549"/>
      <c r="F232" s="549"/>
      <c r="G232" s="549"/>
      <c r="H232" s="549"/>
      <c r="I232" s="549"/>
      <c r="J232" s="549"/>
      <c r="K232" s="549"/>
      <c r="L232" s="549"/>
      <c r="M232" s="549"/>
      <c r="N232" s="549"/>
      <c r="O232" s="549"/>
      <c r="P232" s="549"/>
      <c r="Q232" s="549"/>
      <c r="R232" s="549"/>
      <c r="S232" s="549"/>
      <c r="T232" s="549"/>
      <c r="U232" s="549"/>
      <c r="V232" s="549"/>
      <c r="W232" s="549"/>
      <c r="X232" s="549"/>
      <c r="Y232" s="549"/>
      <c r="Z232" s="549"/>
      <c r="AA232" s="549"/>
      <c r="AB232" s="549"/>
      <c r="AC232" s="549"/>
      <c r="AD232" s="549"/>
      <c r="AE232" s="549"/>
      <c r="AF232" s="549"/>
      <c r="AG232" s="549"/>
      <c r="AH232" s="549"/>
      <c r="AI232" s="549"/>
      <c r="AJ232" s="549"/>
      <c r="AK232" s="549"/>
      <c r="AL232" s="549"/>
      <c r="AM232" s="549"/>
      <c r="AN232" s="549"/>
      <c r="AO232" s="549"/>
      <c r="AP232" s="549"/>
      <c r="AQ232" s="549"/>
      <c r="AR232" s="549"/>
      <c r="AS232" s="549"/>
      <c r="AT232" s="549"/>
      <c r="AU232" s="549"/>
      <c r="AV232" s="549"/>
      <c r="AW232" s="549"/>
      <c r="AX232" s="549"/>
      <c r="AY232" s="549"/>
      <c r="AZ232" s="549"/>
      <c r="BA232" s="549"/>
      <c r="BB232" s="549"/>
      <c r="BC232" s="549"/>
      <c r="BD232" s="549"/>
      <c r="BE232" s="549"/>
      <c r="BF232" s="549"/>
      <c r="BG232" s="549"/>
      <c r="BH232" s="549"/>
      <c r="BI232" s="549"/>
      <c r="BJ232" s="549"/>
      <c r="BK232" s="549"/>
      <c r="BL232" s="549"/>
      <c r="BM232" s="549"/>
      <c r="BN232" s="549"/>
      <c r="BO232" s="549"/>
      <c r="BP232" s="549"/>
      <c r="BQ232" s="549"/>
      <c r="BR232" s="549"/>
      <c r="BS232" s="549"/>
      <c r="BT232" s="549"/>
      <c r="BU232" s="549"/>
      <c r="BV232" s="549"/>
      <c r="BW232" s="549"/>
      <c r="BX232" s="549"/>
      <c r="BY232" s="549"/>
      <c r="BZ232" s="549"/>
      <c r="CA232" s="549"/>
    </row>
    <row r="233" spans="1:79" ht="15.75" customHeight="1">
      <c r="A233" s="614"/>
      <c r="B233" s="549"/>
      <c r="C233" s="549"/>
      <c r="D233" s="549"/>
      <c r="E233" s="549"/>
      <c r="F233" s="549"/>
      <c r="G233" s="549"/>
      <c r="H233" s="549"/>
      <c r="I233" s="549"/>
      <c r="J233" s="549"/>
      <c r="K233" s="549"/>
      <c r="L233" s="549"/>
      <c r="M233" s="549"/>
      <c r="N233" s="549"/>
      <c r="O233" s="549"/>
      <c r="P233" s="549"/>
      <c r="Q233" s="549"/>
      <c r="R233" s="549"/>
      <c r="S233" s="549"/>
      <c r="T233" s="549"/>
      <c r="U233" s="549"/>
      <c r="V233" s="549"/>
      <c r="W233" s="549"/>
      <c r="X233" s="549"/>
      <c r="Y233" s="549"/>
      <c r="Z233" s="549"/>
      <c r="AA233" s="549"/>
      <c r="AB233" s="549"/>
      <c r="AC233" s="549"/>
      <c r="AD233" s="549"/>
      <c r="AE233" s="549"/>
      <c r="AF233" s="549"/>
      <c r="AG233" s="549"/>
      <c r="AH233" s="549"/>
      <c r="AI233" s="549"/>
      <c r="AJ233" s="549"/>
      <c r="AK233" s="549"/>
      <c r="AL233" s="549"/>
      <c r="AM233" s="549"/>
      <c r="AN233" s="549"/>
      <c r="AO233" s="549"/>
      <c r="AP233" s="549"/>
      <c r="AQ233" s="549"/>
      <c r="AR233" s="549"/>
      <c r="AS233" s="549"/>
      <c r="AT233" s="549"/>
      <c r="AU233" s="549"/>
      <c r="AV233" s="549"/>
      <c r="AW233" s="549"/>
      <c r="AX233" s="549"/>
      <c r="AY233" s="549"/>
      <c r="AZ233" s="549"/>
      <c r="BA233" s="549"/>
      <c r="BB233" s="549"/>
      <c r="BC233" s="549"/>
      <c r="BD233" s="549"/>
      <c r="BE233" s="549"/>
      <c r="BF233" s="549"/>
      <c r="BG233" s="549"/>
      <c r="BH233" s="549"/>
      <c r="BI233" s="549"/>
      <c r="BJ233" s="549"/>
      <c r="BK233" s="549"/>
      <c r="BL233" s="549"/>
      <c r="BM233" s="549"/>
      <c r="BN233" s="549"/>
      <c r="BO233" s="549"/>
      <c r="BP233" s="549"/>
      <c r="BQ233" s="549"/>
      <c r="BR233" s="549"/>
      <c r="BS233" s="549"/>
      <c r="BT233" s="549"/>
      <c r="BU233" s="549"/>
      <c r="BV233" s="549"/>
      <c r="BW233" s="549"/>
      <c r="BX233" s="549"/>
      <c r="BY233" s="549"/>
      <c r="BZ233" s="549"/>
      <c r="CA233" s="549"/>
    </row>
    <row r="234" spans="1:79" ht="15.75" customHeight="1">
      <c r="A234" s="614"/>
      <c r="B234" s="549"/>
      <c r="C234" s="549"/>
      <c r="D234" s="549"/>
      <c r="E234" s="549"/>
      <c r="F234" s="549"/>
      <c r="G234" s="549"/>
      <c r="H234" s="549"/>
      <c r="I234" s="549"/>
      <c r="J234" s="549"/>
      <c r="K234" s="549"/>
      <c r="L234" s="549"/>
      <c r="M234" s="549"/>
      <c r="N234" s="549"/>
      <c r="O234" s="549"/>
      <c r="P234" s="549"/>
      <c r="Q234" s="549"/>
      <c r="R234" s="549"/>
      <c r="S234" s="549"/>
      <c r="T234" s="549"/>
      <c r="U234" s="549"/>
      <c r="V234" s="549"/>
      <c r="W234" s="549"/>
      <c r="X234" s="549"/>
      <c r="Y234" s="549"/>
      <c r="Z234" s="549"/>
      <c r="AA234" s="549"/>
      <c r="AB234" s="549"/>
      <c r="AC234" s="549"/>
      <c r="AD234" s="549"/>
      <c r="AE234" s="549"/>
      <c r="AF234" s="549"/>
      <c r="AG234" s="549"/>
      <c r="AH234" s="549"/>
      <c r="AI234" s="549"/>
      <c r="AJ234" s="549"/>
      <c r="AK234" s="549"/>
      <c r="AL234" s="549"/>
      <c r="AM234" s="549"/>
      <c r="AN234" s="549"/>
      <c r="AO234" s="549"/>
      <c r="AP234" s="549"/>
      <c r="AQ234" s="549"/>
      <c r="AR234" s="549"/>
      <c r="AS234" s="549"/>
      <c r="AT234" s="549"/>
      <c r="AU234" s="549"/>
      <c r="AV234" s="549"/>
      <c r="AW234" s="549"/>
      <c r="AX234" s="549"/>
      <c r="AY234" s="549"/>
      <c r="AZ234" s="549"/>
      <c r="BA234" s="549"/>
      <c r="BB234" s="549"/>
      <c r="BC234" s="549"/>
      <c r="BD234" s="549"/>
      <c r="BE234" s="549"/>
      <c r="BF234" s="549"/>
      <c r="BG234" s="549"/>
      <c r="BH234" s="549"/>
      <c r="BI234" s="549"/>
      <c r="BJ234" s="549"/>
      <c r="BK234" s="549"/>
      <c r="BL234" s="549"/>
      <c r="BM234" s="549"/>
      <c r="BN234" s="549"/>
      <c r="BO234" s="549"/>
      <c r="BP234" s="549"/>
      <c r="BQ234" s="549"/>
      <c r="BR234" s="549"/>
      <c r="BS234" s="549"/>
      <c r="BT234" s="549"/>
      <c r="BU234" s="549"/>
      <c r="BV234" s="549"/>
      <c r="BW234" s="549"/>
      <c r="BX234" s="549"/>
      <c r="BY234" s="549"/>
      <c r="BZ234" s="549"/>
      <c r="CA234" s="549"/>
    </row>
    <row r="235" spans="1:79" ht="15.75" customHeight="1">
      <c r="A235" s="614"/>
      <c r="B235" s="549"/>
      <c r="C235" s="549"/>
      <c r="D235" s="549"/>
      <c r="E235" s="549"/>
      <c r="F235" s="549"/>
      <c r="G235" s="549"/>
      <c r="H235" s="549"/>
      <c r="I235" s="549"/>
      <c r="J235" s="549"/>
      <c r="K235" s="549"/>
      <c r="L235" s="549"/>
      <c r="M235" s="549"/>
      <c r="N235" s="549"/>
      <c r="O235" s="549"/>
      <c r="P235" s="549"/>
      <c r="Q235" s="549"/>
      <c r="R235" s="549"/>
      <c r="S235" s="549"/>
      <c r="T235" s="549"/>
      <c r="U235" s="549"/>
      <c r="V235" s="549"/>
      <c r="W235" s="549"/>
      <c r="X235" s="549"/>
      <c r="Y235" s="549"/>
      <c r="Z235" s="549"/>
      <c r="AA235" s="549"/>
      <c r="AB235" s="549"/>
      <c r="AC235" s="549"/>
      <c r="AD235" s="549"/>
      <c r="AE235" s="549"/>
      <c r="AF235" s="549"/>
      <c r="AG235" s="549"/>
      <c r="AH235" s="549"/>
      <c r="AI235" s="549"/>
      <c r="AJ235" s="549"/>
      <c r="AK235" s="549"/>
      <c r="AL235" s="549"/>
      <c r="AM235" s="549"/>
      <c r="AN235" s="549"/>
      <c r="AO235" s="549"/>
      <c r="AP235" s="549"/>
      <c r="AQ235" s="549"/>
      <c r="AR235" s="549"/>
      <c r="AS235" s="549"/>
      <c r="AT235" s="549"/>
      <c r="AU235" s="549"/>
      <c r="AV235" s="549"/>
      <c r="AW235" s="549"/>
      <c r="AX235" s="549"/>
      <c r="AY235" s="549"/>
      <c r="AZ235" s="549"/>
      <c r="BA235" s="549"/>
      <c r="BB235" s="549"/>
      <c r="BC235" s="549"/>
      <c r="BD235" s="549"/>
      <c r="BE235" s="549"/>
      <c r="BF235" s="549"/>
      <c r="BG235" s="549"/>
      <c r="BH235" s="549"/>
      <c r="BI235" s="549"/>
      <c r="BJ235" s="549"/>
      <c r="BK235" s="549"/>
      <c r="BL235" s="549"/>
      <c r="BM235" s="549"/>
      <c r="BN235" s="549"/>
      <c r="BO235" s="549"/>
      <c r="BP235" s="549"/>
      <c r="BQ235" s="549"/>
      <c r="BR235" s="549"/>
      <c r="BS235" s="549"/>
      <c r="BT235" s="549"/>
      <c r="BU235" s="549"/>
      <c r="BV235" s="549"/>
      <c r="BW235" s="549"/>
      <c r="BX235" s="549"/>
      <c r="BY235" s="549"/>
      <c r="BZ235" s="549"/>
      <c r="CA235" s="549"/>
    </row>
    <row r="236" spans="1:79" ht="15.75" customHeight="1">
      <c r="A236" s="614"/>
      <c r="B236" s="549"/>
      <c r="C236" s="549"/>
      <c r="D236" s="549"/>
      <c r="E236" s="549"/>
      <c r="F236" s="549"/>
      <c r="G236" s="549"/>
      <c r="H236" s="549"/>
      <c r="I236" s="549"/>
      <c r="J236" s="549"/>
      <c r="K236" s="549"/>
      <c r="L236" s="549"/>
      <c r="M236" s="549"/>
      <c r="N236" s="549"/>
      <c r="O236" s="549"/>
      <c r="P236" s="549"/>
      <c r="Q236" s="549"/>
      <c r="R236" s="549"/>
      <c r="S236" s="549"/>
      <c r="T236" s="549"/>
      <c r="U236" s="549"/>
      <c r="V236" s="549"/>
      <c r="W236" s="549"/>
      <c r="X236" s="549"/>
      <c r="Y236" s="549"/>
      <c r="Z236" s="549"/>
      <c r="AA236" s="549"/>
      <c r="AB236" s="549"/>
      <c r="AC236" s="549"/>
      <c r="AD236" s="549"/>
      <c r="AE236" s="549"/>
      <c r="AF236" s="549"/>
      <c r="AG236" s="549"/>
      <c r="AH236" s="549"/>
      <c r="AI236" s="549"/>
      <c r="AJ236" s="549"/>
      <c r="AK236" s="549"/>
      <c r="AL236" s="549"/>
      <c r="AM236" s="549"/>
      <c r="AN236" s="549"/>
      <c r="AO236" s="549"/>
      <c r="AP236" s="549"/>
      <c r="AQ236" s="549"/>
      <c r="AR236" s="549"/>
      <c r="AS236" s="549"/>
      <c r="AT236" s="549"/>
      <c r="AU236" s="549"/>
      <c r="AV236" s="549"/>
      <c r="AW236" s="549"/>
      <c r="AX236" s="549"/>
      <c r="AY236" s="549"/>
      <c r="AZ236" s="549"/>
      <c r="BA236" s="549"/>
      <c r="BB236" s="549"/>
      <c r="BC236" s="549"/>
      <c r="BD236" s="549"/>
      <c r="BE236" s="549"/>
      <c r="BF236" s="549"/>
      <c r="BG236" s="549"/>
      <c r="BH236" s="549"/>
      <c r="BI236" s="549"/>
      <c r="BJ236" s="549"/>
      <c r="BK236" s="549"/>
      <c r="BL236" s="549"/>
      <c r="BM236" s="549"/>
      <c r="BN236" s="549"/>
      <c r="BO236" s="549"/>
      <c r="BP236" s="549"/>
      <c r="BQ236" s="549"/>
      <c r="BR236" s="549"/>
      <c r="BS236" s="549"/>
      <c r="BT236" s="549"/>
      <c r="BU236" s="549"/>
      <c r="BV236" s="549"/>
      <c r="BW236" s="549"/>
      <c r="BX236" s="549"/>
      <c r="BY236" s="549"/>
      <c r="BZ236" s="549"/>
      <c r="CA236" s="549"/>
    </row>
    <row r="237" spans="1:79" ht="15.75" customHeight="1">
      <c r="A237" s="614"/>
      <c r="B237" s="549"/>
      <c r="C237" s="549"/>
      <c r="D237" s="549"/>
      <c r="E237" s="549"/>
      <c r="F237" s="549"/>
      <c r="G237" s="549"/>
      <c r="H237" s="549"/>
      <c r="I237" s="549"/>
      <c r="J237" s="549"/>
      <c r="K237" s="549"/>
      <c r="L237" s="549"/>
      <c r="M237" s="549"/>
      <c r="N237" s="549"/>
      <c r="O237" s="549"/>
      <c r="P237" s="549"/>
      <c r="Q237" s="549"/>
      <c r="R237" s="549"/>
      <c r="S237" s="549"/>
      <c r="T237" s="549"/>
      <c r="U237" s="549"/>
      <c r="V237" s="549"/>
      <c r="W237" s="549"/>
      <c r="X237" s="549"/>
      <c r="Y237" s="549"/>
      <c r="Z237" s="549"/>
      <c r="AA237" s="549"/>
      <c r="AB237" s="549"/>
      <c r="AC237" s="549"/>
      <c r="AD237" s="549"/>
      <c r="AE237" s="549"/>
      <c r="AF237" s="549"/>
      <c r="AG237" s="549"/>
      <c r="AH237" s="549"/>
      <c r="AI237" s="549"/>
      <c r="AJ237" s="549"/>
      <c r="AK237" s="549"/>
      <c r="AL237" s="549"/>
      <c r="AM237" s="549"/>
      <c r="AN237" s="549"/>
      <c r="AO237" s="549"/>
      <c r="AP237" s="549"/>
      <c r="AQ237" s="549"/>
      <c r="AR237" s="549"/>
      <c r="AS237" s="549"/>
      <c r="AT237" s="549"/>
      <c r="AU237" s="549"/>
      <c r="AV237" s="549"/>
      <c r="AW237" s="549"/>
      <c r="AX237" s="549"/>
      <c r="AY237" s="549"/>
      <c r="AZ237" s="549"/>
      <c r="BA237" s="549"/>
      <c r="BB237" s="549"/>
      <c r="BC237" s="549"/>
      <c r="BD237" s="549"/>
      <c r="BE237" s="549"/>
      <c r="BF237" s="549"/>
      <c r="BG237" s="549"/>
      <c r="BH237" s="549"/>
      <c r="BI237" s="549"/>
      <c r="BJ237" s="549"/>
      <c r="BK237" s="549"/>
      <c r="BL237" s="549"/>
      <c r="BM237" s="549"/>
      <c r="BN237" s="549"/>
      <c r="BO237" s="549"/>
      <c r="BP237" s="549"/>
      <c r="BQ237" s="549"/>
      <c r="BR237" s="549"/>
      <c r="BS237" s="549"/>
      <c r="BT237" s="549"/>
      <c r="BU237" s="549"/>
      <c r="BV237" s="549"/>
      <c r="BW237" s="549"/>
      <c r="BX237" s="549"/>
      <c r="BY237" s="549"/>
      <c r="BZ237" s="549"/>
      <c r="CA237" s="549"/>
    </row>
    <row r="238" spans="1:79" ht="15.75" customHeight="1">
      <c r="A238" s="614"/>
      <c r="B238" s="549"/>
      <c r="C238" s="549"/>
      <c r="D238" s="549"/>
      <c r="E238" s="549"/>
      <c r="F238" s="549"/>
      <c r="G238" s="549"/>
      <c r="H238" s="549"/>
      <c r="I238" s="549"/>
      <c r="J238" s="549"/>
      <c r="K238" s="549"/>
      <c r="L238" s="549"/>
      <c r="M238" s="549"/>
      <c r="N238" s="549"/>
      <c r="O238" s="549"/>
      <c r="P238" s="549"/>
      <c r="Q238" s="549"/>
      <c r="R238" s="549"/>
      <c r="S238" s="549"/>
      <c r="T238" s="549"/>
      <c r="U238" s="549"/>
      <c r="V238" s="549"/>
      <c r="W238" s="549"/>
      <c r="X238" s="549"/>
      <c r="Y238" s="549"/>
      <c r="Z238" s="549"/>
      <c r="AA238" s="549"/>
      <c r="AB238" s="549"/>
      <c r="AC238" s="549"/>
      <c r="AD238" s="549"/>
      <c r="AE238" s="549"/>
      <c r="AF238" s="549"/>
      <c r="AG238" s="549"/>
      <c r="AH238" s="549"/>
      <c r="AI238" s="549"/>
      <c r="AJ238" s="549"/>
      <c r="AK238" s="549"/>
      <c r="AL238" s="549"/>
      <c r="AM238" s="549"/>
      <c r="AN238" s="549"/>
      <c r="AO238" s="549"/>
      <c r="AP238" s="549"/>
      <c r="AQ238" s="549"/>
      <c r="AR238" s="549"/>
      <c r="AS238" s="549"/>
      <c r="AT238" s="549"/>
      <c r="AU238" s="549"/>
      <c r="AV238" s="549"/>
      <c r="AW238" s="549"/>
      <c r="AX238" s="549"/>
      <c r="AY238" s="549"/>
      <c r="AZ238" s="549"/>
      <c r="BA238" s="549"/>
      <c r="BB238" s="549"/>
      <c r="BC238" s="549"/>
      <c r="BD238" s="549"/>
      <c r="BE238" s="549"/>
      <c r="BF238" s="549"/>
      <c r="BG238" s="549"/>
      <c r="BH238" s="549"/>
      <c r="BI238" s="549"/>
      <c r="BJ238" s="549"/>
      <c r="BK238" s="549"/>
      <c r="BL238" s="549"/>
      <c r="BM238" s="549"/>
      <c r="BN238" s="549"/>
      <c r="BO238" s="549"/>
      <c r="BP238" s="549"/>
      <c r="BQ238" s="549"/>
      <c r="BR238" s="549"/>
      <c r="BS238" s="549"/>
      <c r="BT238" s="549"/>
      <c r="BU238" s="549"/>
      <c r="BV238" s="549"/>
      <c r="BW238" s="549"/>
      <c r="BX238" s="549"/>
      <c r="BY238" s="549"/>
      <c r="BZ238" s="549"/>
      <c r="CA238" s="549"/>
    </row>
    <row r="239" spans="1:79" ht="15.75" customHeight="1">
      <c r="A239" s="614"/>
      <c r="B239" s="549"/>
      <c r="C239" s="549"/>
      <c r="D239" s="549"/>
      <c r="E239" s="549"/>
      <c r="F239" s="549"/>
      <c r="G239" s="549"/>
      <c r="H239" s="549"/>
      <c r="I239" s="549"/>
      <c r="J239" s="549"/>
      <c r="K239" s="549"/>
      <c r="L239" s="549"/>
      <c r="M239" s="549"/>
      <c r="N239" s="549"/>
      <c r="O239" s="549"/>
      <c r="P239" s="549"/>
      <c r="Q239" s="549"/>
      <c r="R239" s="549"/>
      <c r="S239" s="549"/>
      <c r="T239" s="549"/>
      <c r="U239" s="549"/>
      <c r="V239" s="549"/>
      <c r="W239" s="549"/>
      <c r="X239" s="549"/>
      <c r="Y239" s="549"/>
      <c r="Z239" s="549"/>
      <c r="AA239" s="549"/>
      <c r="AB239" s="549"/>
      <c r="AC239" s="549"/>
      <c r="AD239" s="549"/>
      <c r="AE239" s="549"/>
      <c r="AF239" s="549"/>
      <c r="AG239" s="549"/>
      <c r="AH239" s="549"/>
      <c r="AI239" s="549"/>
      <c r="AJ239" s="549"/>
      <c r="AK239" s="549"/>
      <c r="AL239" s="549"/>
      <c r="AM239" s="549"/>
      <c r="AN239" s="549"/>
      <c r="AO239" s="549"/>
      <c r="AP239" s="549"/>
      <c r="AQ239" s="549"/>
      <c r="AR239" s="549"/>
      <c r="AS239" s="549"/>
      <c r="AT239" s="549"/>
      <c r="AU239" s="549"/>
      <c r="AV239" s="549"/>
      <c r="AW239" s="549"/>
      <c r="AX239" s="549"/>
      <c r="AY239" s="549"/>
      <c r="AZ239" s="549"/>
      <c r="BA239" s="549"/>
      <c r="BB239" s="549"/>
      <c r="BC239" s="549"/>
      <c r="BD239" s="549"/>
      <c r="BE239" s="549"/>
      <c r="BF239" s="549"/>
      <c r="BG239" s="549"/>
      <c r="BH239" s="549"/>
      <c r="BI239" s="549"/>
      <c r="BJ239" s="549"/>
      <c r="BK239" s="549"/>
      <c r="BL239" s="549"/>
      <c r="BM239" s="549"/>
      <c r="BN239" s="549"/>
      <c r="BO239" s="549"/>
      <c r="BP239" s="549"/>
      <c r="BQ239" s="549"/>
      <c r="BR239" s="549"/>
      <c r="BS239" s="549"/>
      <c r="BT239" s="549"/>
      <c r="BU239" s="549"/>
      <c r="BV239" s="549"/>
      <c r="BW239" s="549"/>
      <c r="BX239" s="549"/>
      <c r="BY239" s="549"/>
      <c r="BZ239" s="549"/>
      <c r="CA239" s="549"/>
    </row>
    <row r="240" spans="1:79" ht="15.75" customHeight="1">
      <c r="A240" s="614"/>
      <c r="B240" s="549"/>
      <c r="C240" s="549"/>
      <c r="D240" s="549"/>
      <c r="E240" s="549"/>
      <c r="F240" s="549"/>
      <c r="G240" s="549"/>
      <c r="H240" s="549"/>
      <c r="I240" s="549"/>
      <c r="J240" s="549"/>
      <c r="K240" s="549"/>
      <c r="L240" s="549"/>
      <c r="M240" s="549"/>
      <c r="N240" s="549"/>
      <c r="O240" s="549"/>
      <c r="P240" s="549"/>
      <c r="Q240" s="549"/>
      <c r="R240" s="549"/>
      <c r="S240" s="549"/>
      <c r="T240" s="549"/>
      <c r="U240" s="549"/>
      <c r="V240" s="549"/>
      <c r="W240" s="549"/>
      <c r="X240" s="549"/>
      <c r="Y240" s="549"/>
      <c r="Z240" s="549"/>
      <c r="AA240" s="549"/>
      <c r="AB240" s="549"/>
      <c r="AC240" s="549"/>
      <c r="AD240" s="549"/>
      <c r="AE240" s="549"/>
      <c r="AF240" s="549"/>
      <c r="AG240" s="549"/>
      <c r="AH240" s="549"/>
      <c r="AI240" s="549"/>
      <c r="AJ240" s="549"/>
      <c r="AK240" s="549"/>
      <c r="AL240" s="549"/>
      <c r="AM240" s="549"/>
      <c r="AN240" s="549"/>
      <c r="AO240" s="549"/>
      <c r="AP240" s="549"/>
      <c r="AQ240" s="549"/>
      <c r="AR240" s="549"/>
      <c r="AS240" s="549"/>
      <c r="AT240" s="549"/>
      <c r="AU240" s="549"/>
      <c r="AV240" s="549"/>
      <c r="AW240" s="549"/>
      <c r="AX240" s="549"/>
      <c r="AY240" s="549"/>
      <c r="AZ240" s="549"/>
      <c r="BA240" s="549"/>
      <c r="BB240" s="549"/>
      <c r="BC240" s="549"/>
      <c r="BD240" s="549"/>
      <c r="BE240" s="549"/>
      <c r="BF240" s="549"/>
      <c r="BG240" s="549"/>
      <c r="BH240" s="549"/>
      <c r="BI240" s="549"/>
      <c r="BJ240" s="549"/>
      <c r="BK240" s="549"/>
      <c r="BL240" s="549"/>
      <c r="BM240" s="549"/>
      <c r="BN240" s="549"/>
      <c r="BO240" s="549"/>
      <c r="BP240" s="549"/>
      <c r="BQ240" s="549"/>
      <c r="BR240" s="549"/>
      <c r="BS240" s="549"/>
      <c r="BT240" s="549"/>
      <c r="BU240" s="549"/>
      <c r="BV240" s="549"/>
      <c r="BW240" s="549"/>
      <c r="BX240" s="549"/>
      <c r="BY240" s="549"/>
      <c r="BZ240" s="549"/>
      <c r="CA240" s="549"/>
    </row>
    <row r="241" spans="1:79" ht="15.75" customHeight="1">
      <c r="A241" s="614"/>
      <c r="B241" s="549"/>
      <c r="C241" s="549"/>
      <c r="D241" s="549"/>
      <c r="E241" s="549"/>
      <c r="F241" s="549"/>
      <c r="G241" s="549"/>
      <c r="H241" s="549"/>
      <c r="I241" s="549"/>
      <c r="J241" s="549"/>
      <c r="K241" s="549"/>
      <c r="L241" s="549"/>
      <c r="M241" s="549"/>
      <c r="N241" s="549"/>
      <c r="O241" s="549"/>
      <c r="P241" s="549"/>
      <c r="Q241" s="549"/>
      <c r="R241" s="549"/>
      <c r="S241" s="549"/>
      <c r="T241" s="549"/>
      <c r="U241" s="549"/>
      <c r="V241" s="549"/>
      <c r="W241" s="549"/>
      <c r="X241" s="549"/>
      <c r="Y241" s="549"/>
      <c r="Z241" s="549"/>
      <c r="AA241" s="549"/>
      <c r="AB241" s="549"/>
      <c r="AC241" s="549"/>
      <c r="AD241" s="549"/>
      <c r="AE241" s="549"/>
      <c r="AF241" s="549"/>
      <c r="AG241" s="549"/>
      <c r="AH241" s="549"/>
      <c r="AI241" s="549"/>
      <c r="AJ241" s="549"/>
      <c r="AK241" s="549"/>
      <c r="AL241" s="549"/>
      <c r="AM241" s="549"/>
      <c r="AN241" s="549"/>
      <c r="AO241" s="549"/>
      <c r="AP241" s="549"/>
      <c r="AQ241" s="549"/>
      <c r="AR241" s="549"/>
      <c r="AS241" s="549"/>
      <c r="AT241" s="549"/>
      <c r="AU241" s="549"/>
      <c r="AV241" s="549"/>
      <c r="AW241" s="549"/>
      <c r="AX241" s="549"/>
      <c r="AY241" s="549"/>
      <c r="AZ241" s="549"/>
      <c r="BA241" s="549"/>
      <c r="BB241" s="549"/>
      <c r="BC241" s="549"/>
      <c r="BD241" s="549"/>
      <c r="BE241" s="549"/>
      <c r="BF241" s="549"/>
      <c r="BG241" s="549"/>
      <c r="BH241" s="549"/>
      <c r="BI241" s="549"/>
      <c r="BJ241" s="549"/>
      <c r="BK241" s="549"/>
      <c r="BL241" s="549"/>
      <c r="BM241" s="549"/>
      <c r="BN241" s="549"/>
      <c r="BO241" s="549"/>
      <c r="BP241" s="549"/>
      <c r="BQ241" s="549"/>
      <c r="BR241" s="549"/>
      <c r="BS241" s="549"/>
      <c r="BT241" s="549"/>
      <c r="BU241" s="549"/>
      <c r="BV241" s="549"/>
      <c r="BW241" s="549"/>
      <c r="BX241" s="549"/>
      <c r="BY241" s="549"/>
      <c r="BZ241" s="549"/>
      <c r="CA241" s="549"/>
    </row>
    <row r="242" spans="1:79" ht="15.75" customHeight="1">
      <c r="A242" s="614"/>
      <c r="B242" s="549"/>
      <c r="C242" s="549"/>
      <c r="D242" s="549"/>
      <c r="E242" s="549"/>
      <c r="F242" s="549"/>
      <c r="G242" s="549"/>
      <c r="H242" s="549"/>
      <c r="I242" s="549"/>
      <c r="J242" s="549"/>
      <c r="K242" s="549"/>
      <c r="L242" s="549"/>
      <c r="M242" s="549"/>
      <c r="N242" s="549"/>
      <c r="O242" s="549"/>
      <c r="P242" s="549"/>
      <c r="Q242" s="549"/>
      <c r="R242" s="549"/>
      <c r="S242" s="549"/>
      <c r="T242" s="549"/>
      <c r="U242" s="549"/>
      <c r="V242" s="549"/>
      <c r="W242" s="549"/>
      <c r="X242" s="549"/>
      <c r="Y242" s="549"/>
      <c r="Z242" s="549"/>
      <c r="AA242" s="549"/>
      <c r="AB242" s="549"/>
      <c r="AC242" s="549"/>
      <c r="AD242" s="549"/>
      <c r="AE242" s="549"/>
      <c r="AF242" s="549"/>
      <c r="AG242" s="549"/>
      <c r="AH242" s="549"/>
      <c r="AI242" s="549"/>
      <c r="AJ242" s="549"/>
      <c r="AK242" s="549"/>
      <c r="AL242" s="549"/>
      <c r="AM242" s="549"/>
      <c r="AN242" s="549"/>
      <c r="AO242" s="549"/>
      <c r="AP242" s="549"/>
      <c r="AQ242" s="549"/>
      <c r="AR242" s="549"/>
      <c r="AS242" s="549"/>
      <c r="AT242" s="549"/>
      <c r="AU242" s="549"/>
      <c r="AV242" s="549"/>
      <c r="AW242" s="549"/>
      <c r="AX242" s="549"/>
      <c r="AY242" s="549"/>
      <c r="AZ242" s="549"/>
      <c r="BA242" s="549"/>
      <c r="BB242" s="549"/>
      <c r="BC242" s="549"/>
      <c r="BD242" s="549"/>
      <c r="BE242" s="549"/>
      <c r="BF242" s="549"/>
      <c r="BG242" s="549"/>
      <c r="BH242" s="549"/>
      <c r="BI242" s="549"/>
      <c r="BJ242" s="549"/>
      <c r="BK242" s="549"/>
      <c r="BL242" s="549"/>
      <c r="BM242" s="549"/>
      <c r="BN242" s="549"/>
      <c r="BO242" s="549"/>
      <c r="BP242" s="549"/>
      <c r="BQ242" s="549"/>
      <c r="BR242" s="549"/>
      <c r="BS242" s="549"/>
      <c r="BT242" s="549"/>
      <c r="BU242" s="549"/>
      <c r="BV242" s="549"/>
      <c r="BW242" s="549"/>
      <c r="BX242" s="549"/>
      <c r="BY242" s="549"/>
      <c r="BZ242" s="549"/>
      <c r="CA242" s="549"/>
    </row>
    <row r="243" spans="1:79" ht="15.75" customHeight="1">
      <c r="A243" s="614"/>
      <c r="B243" s="549"/>
      <c r="C243" s="549"/>
      <c r="D243" s="549"/>
      <c r="E243" s="549"/>
      <c r="F243" s="549"/>
      <c r="G243" s="549"/>
      <c r="H243" s="549"/>
      <c r="I243" s="549"/>
      <c r="J243" s="549"/>
      <c r="K243" s="549"/>
      <c r="L243" s="549"/>
      <c r="M243" s="549"/>
      <c r="N243" s="549"/>
      <c r="O243" s="549"/>
      <c r="P243" s="549"/>
      <c r="Q243" s="549"/>
      <c r="R243" s="549"/>
      <c r="S243" s="549"/>
      <c r="T243" s="549"/>
      <c r="U243" s="549"/>
      <c r="V243" s="549"/>
      <c r="W243" s="549"/>
      <c r="X243" s="549"/>
      <c r="Y243" s="549"/>
      <c r="Z243" s="549"/>
      <c r="AA243" s="549"/>
      <c r="AB243" s="549"/>
      <c r="AC243" s="549"/>
      <c r="AD243" s="549"/>
      <c r="AE243" s="549"/>
      <c r="AF243" s="549"/>
      <c r="AG243" s="549"/>
      <c r="AH243" s="549"/>
      <c r="AI243" s="549"/>
      <c r="AJ243" s="549"/>
      <c r="AK243" s="549"/>
      <c r="AL243" s="549"/>
      <c r="AM243" s="549"/>
      <c r="AN243" s="549"/>
      <c r="AO243" s="549"/>
      <c r="AP243" s="549"/>
      <c r="AQ243" s="549"/>
      <c r="AR243" s="549"/>
      <c r="AS243" s="549"/>
      <c r="AT243" s="549"/>
      <c r="AU243" s="549"/>
      <c r="AV243" s="549"/>
      <c r="AW243" s="549"/>
      <c r="AX243" s="549"/>
      <c r="AY243" s="549"/>
      <c r="AZ243" s="549"/>
      <c r="BA243" s="549"/>
      <c r="BB243" s="549"/>
      <c r="BC243" s="549"/>
      <c r="BD243" s="549"/>
      <c r="BE243" s="549"/>
      <c r="BF243" s="549"/>
      <c r="BG243" s="549"/>
      <c r="BH243" s="549"/>
      <c r="BI243" s="549"/>
      <c r="BJ243" s="549"/>
      <c r="BK243" s="549"/>
      <c r="BL243" s="549"/>
      <c r="BM243" s="549"/>
      <c r="BN243" s="549"/>
      <c r="BO243" s="549"/>
      <c r="BP243" s="549"/>
      <c r="BQ243" s="549"/>
      <c r="BR243" s="549"/>
      <c r="BS243" s="549"/>
      <c r="BT243" s="549"/>
      <c r="BU243" s="549"/>
      <c r="BV243" s="549"/>
      <c r="BW243" s="549"/>
      <c r="BX243" s="549"/>
      <c r="BY243" s="549"/>
      <c r="BZ243" s="549"/>
      <c r="CA243" s="549"/>
    </row>
    <row r="244" spans="1:79" ht="15.75" customHeight="1">
      <c r="A244" s="614"/>
      <c r="B244" s="549"/>
      <c r="C244" s="549"/>
      <c r="D244" s="549"/>
      <c r="E244" s="549"/>
      <c r="F244" s="549"/>
      <c r="G244" s="549"/>
      <c r="H244" s="549"/>
      <c r="I244" s="549"/>
      <c r="J244" s="549"/>
      <c r="K244" s="549"/>
      <c r="L244" s="549"/>
      <c r="M244" s="549"/>
      <c r="N244" s="549"/>
      <c r="O244" s="549"/>
      <c r="P244" s="549"/>
      <c r="Q244" s="549"/>
      <c r="R244" s="549"/>
      <c r="S244" s="549"/>
      <c r="T244" s="549"/>
      <c r="U244" s="549"/>
      <c r="V244" s="549"/>
      <c r="W244" s="549"/>
      <c r="X244" s="549"/>
      <c r="Y244" s="549"/>
      <c r="Z244" s="549"/>
      <c r="AA244" s="549"/>
      <c r="AB244" s="549"/>
      <c r="AC244" s="549"/>
      <c r="AD244" s="549"/>
      <c r="AE244" s="549"/>
      <c r="AF244" s="549"/>
      <c r="AG244" s="549"/>
      <c r="AH244" s="549"/>
      <c r="AI244" s="549"/>
      <c r="AJ244" s="549"/>
      <c r="AK244" s="549"/>
      <c r="AL244" s="549"/>
      <c r="AM244" s="549"/>
      <c r="AN244" s="549"/>
      <c r="AO244" s="549"/>
      <c r="AP244" s="549"/>
      <c r="AQ244" s="549"/>
      <c r="AR244" s="549"/>
      <c r="AS244" s="549"/>
      <c r="AT244" s="549"/>
      <c r="AU244" s="549"/>
      <c r="AV244" s="549"/>
      <c r="AW244" s="549"/>
      <c r="AX244" s="549"/>
      <c r="AY244" s="549"/>
      <c r="AZ244" s="549"/>
      <c r="BA244" s="549"/>
      <c r="BB244" s="549"/>
      <c r="BC244" s="549"/>
      <c r="BD244" s="549"/>
      <c r="BE244" s="549"/>
      <c r="BF244" s="549"/>
      <c r="BG244" s="549"/>
      <c r="BH244" s="549"/>
      <c r="BI244" s="549"/>
      <c r="BJ244" s="549"/>
      <c r="BK244" s="549"/>
      <c r="BL244" s="549"/>
      <c r="BM244" s="549"/>
      <c r="BN244" s="549"/>
      <c r="BO244" s="549"/>
      <c r="BP244" s="549"/>
      <c r="BQ244" s="549"/>
      <c r="BR244" s="549"/>
      <c r="BS244" s="549"/>
      <c r="BT244" s="549"/>
      <c r="BU244" s="549"/>
      <c r="BV244" s="549"/>
      <c r="BW244" s="549"/>
      <c r="BX244" s="549"/>
      <c r="BY244" s="549"/>
      <c r="BZ244" s="549"/>
      <c r="CA244" s="549"/>
    </row>
    <row r="245" spans="1:79" ht="15.75" customHeight="1">
      <c r="A245" s="614"/>
      <c r="B245" s="549"/>
      <c r="C245" s="549"/>
      <c r="D245" s="549"/>
      <c r="E245" s="549"/>
      <c r="F245" s="549"/>
      <c r="G245" s="549"/>
      <c r="H245" s="549"/>
      <c r="I245" s="549"/>
      <c r="J245" s="549"/>
      <c r="K245" s="549"/>
      <c r="L245" s="549"/>
      <c r="M245" s="549"/>
      <c r="N245" s="549"/>
      <c r="O245" s="549"/>
      <c r="P245" s="549"/>
      <c r="Q245" s="549"/>
      <c r="R245" s="549"/>
      <c r="S245" s="549"/>
      <c r="T245" s="549"/>
      <c r="U245" s="549"/>
      <c r="V245" s="549"/>
      <c r="W245" s="549"/>
      <c r="X245" s="549"/>
      <c r="Y245" s="549"/>
      <c r="Z245" s="549"/>
      <c r="AA245" s="549"/>
      <c r="AB245" s="549"/>
      <c r="AC245" s="549"/>
      <c r="AD245" s="549"/>
      <c r="AE245" s="549"/>
      <c r="AF245" s="549"/>
      <c r="AG245" s="549"/>
      <c r="AH245" s="549"/>
      <c r="AI245" s="549"/>
      <c r="AJ245" s="549"/>
      <c r="AK245" s="549"/>
      <c r="AL245" s="549"/>
      <c r="AM245" s="549"/>
      <c r="AN245" s="549"/>
      <c r="AO245" s="549"/>
      <c r="AP245" s="549"/>
      <c r="AQ245" s="549"/>
      <c r="AR245" s="549"/>
      <c r="AS245" s="549"/>
      <c r="AT245" s="549"/>
      <c r="AU245" s="549"/>
      <c r="AV245" s="549"/>
      <c r="AW245" s="549"/>
      <c r="AX245" s="549"/>
      <c r="AY245" s="549"/>
      <c r="AZ245" s="549"/>
      <c r="BA245" s="549"/>
      <c r="BB245" s="549"/>
      <c r="BC245" s="549"/>
      <c r="BD245" s="549"/>
      <c r="BE245" s="549"/>
      <c r="BF245" s="549"/>
      <c r="BG245" s="549"/>
      <c r="BH245" s="549"/>
      <c r="BI245" s="549"/>
      <c r="BJ245" s="549"/>
      <c r="BK245" s="549"/>
      <c r="BL245" s="549"/>
      <c r="BM245" s="549"/>
      <c r="BN245" s="549"/>
      <c r="BO245" s="549"/>
      <c r="BP245" s="549"/>
      <c r="BQ245" s="549"/>
      <c r="BR245" s="549"/>
      <c r="BS245" s="549"/>
      <c r="BT245" s="549"/>
      <c r="BU245" s="549"/>
      <c r="BV245" s="549"/>
      <c r="BW245" s="549"/>
      <c r="BX245" s="549"/>
      <c r="BY245" s="549"/>
      <c r="BZ245" s="549"/>
      <c r="CA245" s="549"/>
    </row>
    <row r="246" spans="1:79" ht="15.75" customHeight="1">
      <c r="A246" s="614"/>
      <c r="B246" s="549"/>
      <c r="C246" s="549"/>
      <c r="D246" s="549"/>
      <c r="E246" s="549"/>
      <c r="F246" s="549"/>
      <c r="G246" s="549"/>
      <c r="H246" s="549"/>
      <c r="I246" s="549"/>
      <c r="J246" s="549"/>
      <c r="K246" s="549"/>
      <c r="L246" s="549"/>
      <c r="M246" s="549"/>
      <c r="N246" s="549"/>
      <c r="O246" s="549"/>
      <c r="P246" s="549"/>
      <c r="Q246" s="549"/>
      <c r="R246" s="549"/>
      <c r="S246" s="549"/>
      <c r="T246" s="549"/>
      <c r="U246" s="549"/>
      <c r="V246" s="549"/>
      <c r="W246" s="549"/>
      <c r="X246" s="549"/>
      <c r="Y246" s="549"/>
      <c r="Z246" s="549"/>
      <c r="AA246" s="549"/>
      <c r="AB246" s="549"/>
      <c r="AC246" s="549"/>
      <c r="AD246" s="549"/>
      <c r="AE246" s="549"/>
      <c r="AF246" s="549"/>
      <c r="AG246" s="549"/>
      <c r="AH246" s="549"/>
      <c r="AI246" s="549"/>
      <c r="AJ246" s="549"/>
      <c r="AK246" s="549"/>
      <c r="AL246" s="549"/>
      <c r="AM246" s="549"/>
      <c r="AN246" s="549"/>
      <c r="AO246" s="549"/>
      <c r="AP246" s="549"/>
      <c r="AQ246" s="549"/>
      <c r="AR246" s="549"/>
      <c r="AS246" s="549"/>
      <c r="AT246" s="549"/>
      <c r="AU246" s="549"/>
      <c r="AV246" s="549"/>
      <c r="AW246" s="549"/>
      <c r="AX246" s="549"/>
      <c r="AY246" s="549"/>
      <c r="AZ246" s="549"/>
      <c r="BA246" s="549"/>
      <c r="BB246" s="549"/>
      <c r="BC246" s="549"/>
      <c r="BD246" s="549"/>
      <c r="BE246" s="549"/>
      <c r="BF246" s="549"/>
      <c r="BG246" s="549"/>
      <c r="BH246" s="549"/>
      <c r="BI246" s="549"/>
      <c r="BJ246" s="549"/>
      <c r="BK246" s="549"/>
      <c r="BL246" s="549"/>
      <c r="BM246" s="549"/>
      <c r="BN246" s="549"/>
      <c r="BO246" s="549"/>
      <c r="BP246" s="549"/>
      <c r="BQ246" s="549"/>
      <c r="BR246" s="549"/>
      <c r="BS246" s="549"/>
      <c r="BT246" s="549"/>
      <c r="BU246" s="549"/>
      <c r="BV246" s="549"/>
      <c r="BW246" s="549"/>
      <c r="BX246" s="549"/>
      <c r="BY246" s="549"/>
      <c r="BZ246" s="549"/>
      <c r="CA246" s="549"/>
    </row>
    <row r="247" spans="1:79" ht="15.75" customHeight="1">
      <c r="A247" s="614"/>
      <c r="B247" s="549"/>
      <c r="C247" s="549"/>
      <c r="D247" s="549"/>
      <c r="E247" s="549"/>
      <c r="F247" s="549"/>
      <c r="G247" s="549"/>
      <c r="H247" s="549"/>
      <c r="I247" s="549"/>
      <c r="J247" s="549"/>
      <c r="K247" s="549"/>
      <c r="L247" s="549"/>
      <c r="M247" s="549"/>
      <c r="N247" s="549"/>
      <c r="O247" s="549"/>
      <c r="P247" s="549"/>
      <c r="Q247" s="549"/>
      <c r="R247" s="549"/>
      <c r="S247" s="549"/>
      <c r="T247" s="549"/>
      <c r="U247" s="549"/>
      <c r="V247" s="549"/>
      <c r="W247" s="549"/>
      <c r="X247" s="549"/>
      <c r="Y247" s="549"/>
      <c r="Z247" s="549"/>
      <c r="AA247" s="549"/>
      <c r="AB247" s="549"/>
      <c r="AC247" s="549"/>
      <c r="AD247" s="549"/>
      <c r="AE247" s="549"/>
      <c r="AF247" s="549"/>
      <c r="AG247" s="549"/>
      <c r="AH247" s="549"/>
      <c r="AI247" s="549"/>
      <c r="AJ247" s="549"/>
      <c r="AK247" s="549"/>
      <c r="AL247" s="549"/>
      <c r="AM247" s="549"/>
      <c r="AN247" s="549"/>
      <c r="AO247" s="549"/>
      <c r="AP247" s="549"/>
      <c r="AQ247" s="549"/>
      <c r="AR247" s="549"/>
      <c r="AS247" s="549"/>
      <c r="AT247" s="549"/>
      <c r="AU247" s="549"/>
      <c r="AV247" s="549"/>
      <c r="AW247" s="549"/>
      <c r="AX247" s="549"/>
      <c r="AY247" s="549"/>
      <c r="AZ247" s="549"/>
      <c r="BA247" s="549"/>
      <c r="BB247" s="549"/>
      <c r="BC247" s="549"/>
      <c r="BD247" s="549"/>
      <c r="BE247" s="549"/>
      <c r="BF247" s="549"/>
      <c r="BG247" s="549"/>
      <c r="BH247" s="549"/>
      <c r="BI247" s="549"/>
      <c r="BJ247" s="549"/>
      <c r="BK247" s="549"/>
      <c r="BL247" s="549"/>
      <c r="BM247" s="549"/>
      <c r="BN247" s="549"/>
      <c r="BO247" s="549"/>
      <c r="BP247" s="549"/>
      <c r="BQ247" s="549"/>
      <c r="BR247" s="549"/>
      <c r="BS247" s="549"/>
      <c r="BT247" s="549"/>
      <c r="BU247" s="549"/>
      <c r="BV247" s="549"/>
      <c r="BW247" s="549"/>
      <c r="BX247" s="549"/>
      <c r="BY247" s="549"/>
      <c r="BZ247" s="549"/>
      <c r="CA247" s="549"/>
    </row>
    <row r="248" spans="1:79" ht="15.75" customHeight="1">
      <c r="A248" s="614"/>
      <c r="B248" s="549"/>
      <c r="C248" s="549"/>
      <c r="D248" s="549"/>
      <c r="E248" s="549"/>
      <c r="F248" s="549"/>
      <c r="G248" s="549"/>
      <c r="H248" s="549"/>
      <c r="I248" s="549"/>
      <c r="J248" s="549"/>
      <c r="K248" s="549"/>
      <c r="L248" s="549"/>
      <c r="M248" s="549"/>
      <c r="N248" s="549"/>
      <c r="O248" s="549"/>
      <c r="P248" s="549"/>
      <c r="Q248" s="549"/>
      <c r="R248" s="549"/>
      <c r="S248" s="549"/>
      <c r="T248" s="549"/>
      <c r="U248" s="549"/>
      <c r="V248" s="549"/>
      <c r="W248" s="549"/>
      <c r="X248" s="549"/>
      <c r="Y248" s="549"/>
      <c r="Z248" s="549"/>
      <c r="AA248" s="549"/>
      <c r="AB248" s="549"/>
      <c r="AC248" s="549"/>
      <c r="AD248" s="549"/>
      <c r="AE248" s="549"/>
      <c r="AF248" s="549"/>
      <c r="AG248" s="549"/>
      <c r="AH248" s="549"/>
      <c r="AI248" s="549"/>
      <c r="AJ248" s="549"/>
      <c r="AK248" s="549"/>
      <c r="AL248" s="549"/>
      <c r="AM248" s="549"/>
      <c r="AN248" s="549"/>
      <c r="AO248" s="549"/>
      <c r="AP248" s="549"/>
      <c r="AQ248" s="549"/>
      <c r="AR248" s="549"/>
      <c r="AS248" s="549"/>
      <c r="AT248" s="549"/>
      <c r="AU248" s="549"/>
      <c r="AV248" s="549"/>
      <c r="AW248" s="549"/>
      <c r="AX248" s="549"/>
      <c r="AY248" s="549"/>
      <c r="AZ248" s="549"/>
      <c r="BA248" s="549"/>
      <c r="BB248" s="549"/>
      <c r="BC248" s="549"/>
      <c r="BD248" s="549"/>
      <c r="BE248" s="549"/>
      <c r="BF248" s="549"/>
      <c r="BG248" s="549"/>
      <c r="BH248" s="549"/>
      <c r="BI248" s="549"/>
      <c r="BJ248" s="549"/>
      <c r="BK248" s="549"/>
      <c r="BL248" s="549"/>
      <c r="BM248" s="549"/>
      <c r="BN248" s="549"/>
      <c r="BO248" s="549"/>
      <c r="BP248" s="549"/>
      <c r="BQ248" s="549"/>
      <c r="BR248" s="549"/>
      <c r="BS248" s="549"/>
      <c r="BT248" s="549"/>
      <c r="BU248" s="549"/>
      <c r="BV248" s="549"/>
      <c r="BW248" s="549"/>
      <c r="BX248" s="549"/>
      <c r="BY248" s="549"/>
      <c r="BZ248" s="549"/>
      <c r="CA248" s="549"/>
    </row>
    <row r="249" spans="1:79" ht="15.75" customHeight="1">
      <c r="A249" s="614"/>
      <c r="B249" s="549"/>
      <c r="C249" s="549"/>
      <c r="D249" s="549"/>
      <c r="E249" s="549"/>
      <c r="F249" s="549"/>
      <c r="G249" s="549"/>
      <c r="H249" s="549"/>
      <c r="I249" s="549"/>
      <c r="J249" s="549"/>
      <c r="K249" s="549"/>
      <c r="L249" s="549"/>
      <c r="M249" s="549"/>
      <c r="N249" s="549"/>
      <c r="O249" s="549"/>
      <c r="P249" s="549"/>
      <c r="Q249" s="549"/>
      <c r="R249" s="549"/>
      <c r="S249" s="549"/>
      <c r="T249" s="549"/>
      <c r="U249" s="549"/>
      <c r="V249" s="549"/>
      <c r="W249" s="549"/>
      <c r="X249" s="549"/>
      <c r="Y249" s="549"/>
      <c r="Z249" s="549"/>
      <c r="AA249" s="549"/>
      <c r="AB249" s="549"/>
      <c r="AC249" s="549"/>
      <c r="AD249" s="549"/>
      <c r="AE249" s="549"/>
      <c r="AF249" s="549"/>
      <c r="AG249" s="549"/>
      <c r="AH249" s="549"/>
      <c r="AI249" s="549"/>
      <c r="AJ249" s="549"/>
      <c r="AK249" s="549"/>
      <c r="AL249" s="549"/>
      <c r="AM249" s="549"/>
      <c r="AN249" s="549"/>
      <c r="AO249" s="549"/>
      <c r="AP249" s="549"/>
      <c r="AQ249" s="549"/>
      <c r="AR249" s="549"/>
      <c r="AS249" s="549"/>
      <c r="AT249" s="549"/>
      <c r="AU249" s="549"/>
      <c r="AV249" s="549"/>
      <c r="AW249" s="549"/>
      <c r="AX249" s="549"/>
      <c r="AY249" s="549"/>
      <c r="AZ249" s="549"/>
      <c r="BA249" s="549"/>
      <c r="BB249" s="549"/>
      <c r="BC249" s="549"/>
      <c r="BD249" s="549"/>
      <c r="BE249" s="549"/>
      <c r="BF249" s="549"/>
      <c r="BG249" s="549"/>
      <c r="BH249" s="549"/>
      <c r="BI249" s="549"/>
      <c r="BJ249" s="549"/>
      <c r="BK249" s="549"/>
      <c r="BL249" s="549"/>
      <c r="BM249" s="549"/>
      <c r="BN249" s="549"/>
      <c r="BO249" s="549"/>
      <c r="BP249" s="549"/>
      <c r="BQ249" s="549"/>
      <c r="BR249" s="549"/>
      <c r="BS249" s="549"/>
      <c r="BT249" s="549"/>
      <c r="BU249" s="549"/>
      <c r="BV249" s="549"/>
      <c r="BW249" s="549"/>
      <c r="BX249" s="549"/>
      <c r="BY249" s="549"/>
      <c r="BZ249" s="549"/>
      <c r="CA249" s="549"/>
    </row>
    <row r="250" spans="1:79" ht="15.75" customHeight="1">
      <c r="A250" s="614"/>
      <c r="B250" s="549"/>
      <c r="C250" s="549"/>
      <c r="D250" s="549"/>
      <c r="E250" s="549"/>
      <c r="F250" s="549"/>
      <c r="G250" s="549"/>
      <c r="H250" s="549"/>
      <c r="I250" s="549"/>
      <c r="J250" s="549"/>
      <c r="K250" s="549"/>
      <c r="L250" s="549"/>
      <c r="M250" s="549"/>
      <c r="N250" s="549"/>
      <c r="O250" s="549"/>
      <c r="P250" s="549"/>
      <c r="Q250" s="549"/>
      <c r="R250" s="549"/>
      <c r="S250" s="549"/>
      <c r="T250" s="549"/>
      <c r="U250" s="549"/>
      <c r="V250" s="549"/>
      <c r="W250" s="549"/>
      <c r="X250" s="549"/>
      <c r="Y250" s="549"/>
      <c r="Z250" s="549"/>
      <c r="AA250" s="549"/>
      <c r="AB250" s="549"/>
      <c r="AC250" s="549"/>
      <c r="AD250" s="549"/>
      <c r="AE250" s="549"/>
      <c r="AF250" s="549"/>
      <c r="AG250" s="549"/>
      <c r="AH250" s="549"/>
      <c r="AI250" s="549"/>
      <c r="AJ250" s="549"/>
      <c r="AK250" s="549"/>
      <c r="AL250" s="549"/>
      <c r="AM250" s="549"/>
      <c r="AN250" s="549"/>
      <c r="AO250" s="549"/>
      <c r="AP250" s="549"/>
      <c r="AQ250" s="549"/>
      <c r="AR250" s="549"/>
      <c r="AS250" s="549"/>
      <c r="AT250" s="549"/>
      <c r="AU250" s="549"/>
      <c r="AV250" s="549"/>
      <c r="AW250" s="549"/>
      <c r="AX250" s="549"/>
      <c r="AY250" s="549"/>
      <c r="AZ250" s="549"/>
      <c r="BA250" s="549"/>
      <c r="BB250" s="549"/>
      <c r="BC250" s="549"/>
      <c r="BD250" s="549"/>
      <c r="BE250" s="549"/>
      <c r="BF250" s="549"/>
      <c r="BG250" s="549"/>
      <c r="BH250" s="549"/>
      <c r="BI250" s="549"/>
      <c r="BJ250" s="549"/>
      <c r="BK250" s="549"/>
      <c r="BL250" s="549"/>
      <c r="BM250" s="549"/>
      <c r="BN250" s="549"/>
      <c r="BO250" s="549"/>
      <c r="BP250" s="549"/>
      <c r="BQ250" s="549"/>
      <c r="BR250" s="549"/>
      <c r="BS250" s="549"/>
      <c r="BT250" s="549"/>
      <c r="BU250" s="549"/>
      <c r="BV250" s="549"/>
      <c r="BW250" s="549"/>
      <c r="BX250" s="549"/>
      <c r="BY250" s="549"/>
      <c r="BZ250" s="549"/>
      <c r="CA250" s="549"/>
    </row>
    <row r="251" spans="1:79" ht="15.75" customHeight="1">
      <c r="A251" s="614"/>
      <c r="B251" s="549"/>
      <c r="C251" s="549"/>
      <c r="D251" s="549"/>
      <c r="E251" s="549"/>
      <c r="F251" s="549"/>
      <c r="G251" s="549"/>
      <c r="H251" s="549"/>
      <c r="I251" s="549"/>
      <c r="J251" s="549"/>
      <c r="K251" s="549"/>
      <c r="L251" s="549"/>
      <c r="M251" s="549"/>
      <c r="N251" s="549"/>
      <c r="O251" s="549"/>
      <c r="P251" s="549"/>
      <c r="Q251" s="549"/>
      <c r="R251" s="549"/>
      <c r="S251" s="549"/>
      <c r="T251" s="549"/>
      <c r="U251" s="549"/>
      <c r="V251" s="549"/>
      <c r="W251" s="549"/>
      <c r="X251" s="549"/>
      <c r="Y251" s="549"/>
      <c r="Z251" s="549"/>
      <c r="AA251" s="549"/>
      <c r="AB251" s="549"/>
      <c r="AC251" s="549"/>
      <c r="AD251" s="549"/>
      <c r="AE251" s="549"/>
      <c r="AF251" s="549"/>
      <c r="AG251" s="549"/>
      <c r="AH251" s="549"/>
      <c r="AI251" s="549"/>
      <c r="AJ251" s="549"/>
      <c r="AK251" s="549"/>
      <c r="AL251" s="549"/>
      <c r="AM251" s="549"/>
      <c r="AN251" s="549"/>
      <c r="AO251" s="549"/>
      <c r="AP251" s="549"/>
      <c r="AQ251" s="549"/>
      <c r="AR251" s="549"/>
      <c r="AS251" s="549"/>
      <c r="AT251" s="549"/>
      <c r="AU251" s="549"/>
      <c r="AV251" s="549"/>
      <c r="AW251" s="549"/>
      <c r="AX251" s="549"/>
      <c r="AY251" s="549"/>
      <c r="AZ251" s="549"/>
      <c r="BA251" s="549"/>
      <c r="BB251" s="549"/>
      <c r="BC251" s="549"/>
      <c r="BD251" s="549"/>
      <c r="BE251" s="549"/>
      <c r="BF251" s="549"/>
      <c r="BG251" s="549"/>
      <c r="BH251" s="549"/>
      <c r="BI251" s="549"/>
      <c r="BJ251" s="549"/>
      <c r="BK251" s="549"/>
      <c r="BL251" s="549"/>
      <c r="BM251" s="549"/>
      <c r="BN251" s="549"/>
      <c r="BO251" s="549"/>
      <c r="BP251" s="549"/>
      <c r="BQ251" s="549"/>
      <c r="BR251" s="549"/>
      <c r="BS251" s="549"/>
      <c r="BT251" s="549"/>
      <c r="BU251" s="549"/>
      <c r="BV251" s="549"/>
      <c r="BW251" s="549"/>
      <c r="BX251" s="549"/>
      <c r="BY251" s="549"/>
      <c r="BZ251" s="549"/>
      <c r="CA251" s="549"/>
    </row>
    <row r="252" spans="1:79" ht="15.75" customHeight="1">
      <c r="A252" s="614"/>
      <c r="B252" s="549"/>
      <c r="C252" s="549"/>
      <c r="D252" s="549"/>
      <c r="E252" s="549"/>
      <c r="F252" s="549"/>
      <c r="G252" s="549"/>
      <c r="H252" s="549"/>
      <c r="I252" s="549"/>
      <c r="J252" s="549"/>
      <c r="K252" s="549"/>
      <c r="L252" s="549"/>
      <c r="M252" s="549"/>
      <c r="N252" s="549"/>
      <c r="O252" s="549"/>
      <c r="P252" s="549"/>
      <c r="Q252" s="549"/>
      <c r="R252" s="549"/>
      <c r="S252" s="549"/>
      <c r="T252" s="549"/>
      <c r="U252" s="549"/>
      <c r="V252" s="549"/>
      <c r="W252" s="549"/>
      <c r="X252" s="549"/>
      <c r="Y252" s="549"/>
      <c r="Z252" s="549"/>
      <c r="AA252" s="549"/>
      <c r="AB252" s="549"/>
      <c r="AC252" s="549"/>
      <c r="AD252" s="549"/>
      <c r="AE252" s="549"/>
      <c r="AF252" s="549"/>
      <c r="AG252" s="549"/>
      <c r="AH252" s="549"/>
      <c r="AI252" s="549"/>
      <c r="AJ252" s="549"/>
      <c r="AK252" s="549"/>
      <c r="AL252" s="549"/>
      <c r="AM252" s="549"/>
      <c r="AN252" s="549"/>
      <c r="AO252" s="549"/>
      <c r="AP252" s="549"/>
      <c r="AQ252" s="549"/>
      <c r="AR252" s="549"/>
      <c r="AS252" s="549"/>
      <c r="AT252" s="549"/>
      <c r="AU252" s="549"/>
      <c r="AV252" s="549"/>
      <c r="AW252" s="549"/>
      <c r="AX252" s="549"/>
      <c r="AY252" s="549"/>
      <c r="AZ252" s="549"/>
      <c r="BA252" s="549"/>
      <c r="BB252" s="549"/>
      <c r="BC252" s="549"/>
      <c r="BD252" s="549"/>
      <c r="BE252" s="549"/>
      <c r="BF252" s="549"/>
      <c r="BG252" s="549"/>
      <c r="BH252" s="549"/>
      <c r="BI252" s="549"/>
      <c r="BJ252" s="549"/>
      <c r="BK252" s="549"/>
      <c r="BL252" s="549"/>
      <c r="BM252" s="549"/>
      <c r="BN252" s="549"/>
      <c r="BO252" s="549"/>
      <c r="BP252" s="549"/>
      <c r="BQ252" s="549"/>
      <c r="BR252" s="549"/>
      <c r="BS252" s="549"/>
      <c r="BT252" s="549"/>
      <c r="BU252" s="549"/>
      <c r="BV252" s="549"/>
      <c r="BW252" s="549"/>
      <c r="BX252" s="549"/>
      <c r="BY252" s="549"/>
      <c r="BZ252" s="549"/>
      <c r="CA252" s="549"/>
    </row>
    <row r="253" spans="1:79" ht="15.75" customHeight="1">
      <c r="A253" s="614"/>
      <c r="B253" s="549"/>
      <c r="C253" s="549"/>
      <c r="D253" s="549"/>
      <c r="E253" s="549"/>
      <c r="F253" s="549"/>
      <c r="G253" s="549"/>
      <c r="H253" s="549"/>
      <c r="I253" s="549"/>
      <c r="J253" s="549"/>
      <c r="K253" s="549"/>
      <c r="L253" s="549"/>
      <c r="M253" s="549"/>
      <c r="N253" s="549"/>
      <c r="O253" s="549"/>
      <c r="P253" s="549"/>
      <c r="Q253" s="549"/>
      <c r="R253" s="549"/>
      <c r="S253" s="549"/>
      <c r="T253" s="549"/>
      <c r="U253" s="549"/>
      <c r="V253" s="549"/>
      <c r="W253" s="549"/>
      <c r="X253" s="549"/>
      <c r="Y253" s="549"/>
      <c r="Z253" s="549"/>
      <c r="AA253" s="549"/>
      <c r="AB253" s="549"/>
      <c r="AC253" s="549"/>
      <c r="AD253" s="549"/>
      <c r="AE253" s="549"/>
      <c r="AF253" s="549"/>
      <c r="AG253" s="549"/>
      <c r="AH253" s="549"/>
      <c r="AI253" s="549"/>
      <c r="AJ253" s="549"/>
      <c r="AK253" s="549"/>
      <c r="AL253" s="549"/>
      <c r="AM253" s="549"/>
      <c r="AN253" s="549"/>
      <c r="AO253" s="549"/>
      <c r="AP253" s="549"/>
      <c r="AQ253" s="549"/>
      <c r="AR253" s="549"/>
      <c r="AS253" s="549"/>
      <c r="AT253" s="549"/>
      <c r="AU253" s="549"/>
      <c r="AV253" s="549"/>
      <c r="AW253" s="549"/>
      <c r="AX253" s="549"/>
      <c r="AY253" s="549"/>
      <c r="AZ253" s="549"/>
      <c r="BA253" s="549"/>
      <c r="BB253" s="549"/>
      <c r="BC253" s="549"/>
      <c r="BD253" s="549"/>
      <c r="BE253" s="549"/>
      <c r="BF253" s="549"/>
      <c r="BG253" s="549"/>
      <c r="BH253" s="549"/>
      <c r="BI253" s="549"/>
      <c r="BJ253" s="549"/>
      <c r="BK253" s="549"/>
      <c r="BL253" s="549"/>
      <c r="BM253" s="549"/>
      <c r="BN253" s="549"/>
      <c r="BO253" s="549"/>
      <c r="BP253" s="549"/>
      <c r="BQ253" s="549"/>
      <c r="BR253" s="549"/>
      <c r="BS253" s="549"/>
      <c r="BT253" s="549"/>
      <c r="BU253" s="549"/>
      <c r="BV253" s="549"/>
      <c r="BW253" s="549"/>
      <c r="BX253" s="549"/>
      <c r="BY253" s="549"/>
      <c r="BZ253" s="549"/>
      <c r="CA253" s="549"/>
    </row>
    <row r="254" spans="1:79" ht="15.75" customHeight="1">
      <c r="A254" s="614"/>
      <c r="B254" s="549"/>
      <c r="C254" s="549"/>
      <c r="D254" s="549"/>
      <c r="E254" s="549"/>
      <c r="F254" s="549"/>
      <c r="G254" s="549"/>
      <c r="H254" s="549"/>
      <c r="I254" s="549"/>
      <c r="J254" s="549"/>
      <c r="K254" s="549"/>
      <c r="L254" s="549"/>
      <c r="M254" s="549"/>
      <c r="N254" s="549"/>
      <c r="O254" s="549"/>
      <c r="P254" s="549"/>
      <c r="Q254" s="549"/>
      <c r="R254" s="549"/>
      <c r="S254" s="549"/>
      <c r="T254" s="549"/>
      <c r="U254" s="549"/>
      <c r="V254" s="549"/>
      <c r="W254" s="549"/>
      <c r="X254" s="549"/>
      <c r="Y254" s="549"/>
      <c r="Z254" s="549"/>
      <c r="AA254" s="549"/>
      <c r="AB254" s="549"/>
      <c r="AC254" s="549"/>
      <c r="AD254" s="549"/>
      <c r="AE254" s="549"/>
      <c r="AF254" s="549"/>
      <c r="AG254" s="549"/>
      <c r="AH254" s="549"/>
      <c r="AI254" s="549"/>
      <c r="AJ254" s="549"/>
      <c r="AK254" s="549"/>
      <c r="AL254" s="549"/>
      <c r="AM254" s="549"/>
      <c r="AN254" s="549"/>
      <c r="AO254" s="549"/>
      <c r="AP254" s="549"/>
      <c r="AQ254" s="549"/>
      <c r="AR254" s="549"/>
      <c r="AS254" s="549"/>
      <c r="AT254" s="549"/>
      <c r="AU254" s="549"/>
      <c r="AV254" s="549"/>
      <c r="AW254" s="549"/>
      <c r="AX254" s="549"/>
      <c r="AY254" s="549"/>
      <c r="AZ254" s="549"/>
      <c r="BA254" s="549"/>
      <c r="BB254" s="549"/>
      <c r="BC254" s="549"/>
      <c r="BD254" s="549"/>
      <c r="BE254" s="549"/>
      <c r="BF254" s="549"/>
      <c r="BG254" s="549"/>
      <c r="BH254" s="549"/>
      <c r="BI254" s="549"/>
      <c r="BJ254" s="549"/>
      <c r="BK254" s="549"/>
      <c r="BL254" s="549"/>
      <c r="BM254" s="549"/>
      <c r="BN254" s="549"/>
      <c r="BO254" s="549"/>
      <c r="BP254" s="549"/>
      <c r="BQ254" s="549"/>
      <c r="BR254" s="549"/>
      <c r="BS254" s="549"/>
      <c r="BT254" s="549"/>
      <c r="BU254" s="549"/>
      <c r="BV254" s="549"/>
      <c r="BW254" s="549"/>
      <c r="BX254" s="549"/>
      <c r="BY254" s="549"/>
      <c r="BZ254" s="549"/>
      <c r="CA254" s="549"/>
    </row>
    <row r="255" spans="1:79" ht="15.75" customHeight="1">
      <c r="A255" s="614"/>
      <c r="B255" s="549"/>
      <c r="C255" s="549"/>
      <c r="D255" s="549"/>
      <c r="E255" s="549"/>
      <c r="F255" s="549"/>
      <c r="G255" s="549"/>
      <c r="H255" s="549"/>
      <c r="I255" s="549"/>
      <c r="J255" s="549"/>
      <c r="K255" s="549"/>
      <c r="L255" s="549"/>
      <c r="M255" s="549"/>
      <c r="N255" s="549"/>
      <c r="O255" s="549"/>
      <c r="P255" s="549"/>
      <c r="Q255" s="549"/>
      <c r="R255" s="549"/>
      <c r="S255" s="549"/>
      <c r="T255" s="549"/>
      <c r="U255" s="549"/>
      <c r="V255" s="549"/>
      <c r="W255" s="549"/>
      <c r="X255" s="549"/>
      <c r="Y255" s="549"/>
      <c r="Z255" s="549"/>
      <c r="AA255" s="549"/>
      <c r="AB255" s="549"/>
      <c r="AC255" s="549"/>
      <c r="AD255" s="549"/>
      <c r="AE255" s="549"/>
      <c r="AF255" s="549"/>
      <c r="AG255" s="549"/>
      <c r="AH255" s="549"/>
      <c r="AI255" s="549"/>
      <c r="AJ255" s="549"/>
      <c r="AK255" s="549"/>
      <c r="AL255" s="549"/>
      <c r="AM255" s="549"/>
      <c r="AN255" s="549"/>
      <c r="AO255" s="549"/>
      <c r="AP255" s="549"/>
      <c r="AQ255" s="549"/>
      <c r="AR255" s="549"/>
      <c r="AS255" s="549"/>
      <c r="AT255" s="549"/>
      <c r="AU255" s="549"/>
      <c r="AV255" s="549"/>
      <c r="AW255" s="549"/>
      <c r="AX255" s="549"/>
      <c r="AY255" s="549"/>
      <c r="AZ255" s="549"/>
      <c r="BA255" s="549"/>
      <c r="BB255" s="549"/>
      <c r="BC255" s="549"/>
      <c r="BD255" s="549"/>
      <c r="BE255" s="549"/>
      <c r="BF255" s="549"/>
      <c r="BG255" s="549"/>
      <c r="BH255" s="549"/>
      <c r="BI255" s="549"/>
      <c r="BJ255" s="549"/>
      <c r="BK255" s="549"/>
      <c r="BL255" s="549"/>
      <c r="BM255" s="549"/>
      <c r="BN255" s="549"/>
      <c r="BO255" s="549"/>
      <c r="BP255" s="549"/>
      <c r="BQ255" s="549"/>
      <c r="BR255" s="549"/>
      <c r="BS255" s="549"/>
      <c r="BT255" s="549"/>
      <c r="BU255" s="549"/>
      <c r="BV255" s="549"/>
      <c r="BW255" s="549"/>
      <c r="BX255" s="549"/>
      <c r="BY255" s="549"/>
      <c r="BZ255" s="549"/>
      <c r="CA255" s="549"/>
    </row>
    <row r="256" spans="1:79" ht="15.75" customHeight="1">
      <c r="A256" s="614"/>
      <c r="B256" s="549"/>
      <c r="C256" s="549"/>
      <c r="D256" s="549"/>
      <c r="E256" s="549"/>
      <c r="F256" s="549"/>
      <c r="G256" s="549"/>
      <c r="H256" s="549"/>
      <c r="I256" s="549"/>
      <c r="J256" s="549"/>
      <c r="K256" s="549"/>
      <c r="L256" s="549"/>
      <c r="M256" s="549"/>
      <c r="N256" s="549"/>
      <c r="O256" s="549"/>
      <c r="P256" s="549"/>
      <c r="Q256" s="549"/>
      <c r="R256" s="549"/>
      <c r="S256" s="549"/>
      <c r="T256" s="549"/>
      <c r="U256" s="549"/>
      <c r="V256" s="549"/>
      <c r="W256" s="549"/>
      <c r="X256" s="549"/>
      <c r="Y256" s="549"/>
      <c r="Z256" s="549"/>
      <c r="AA256" s="549"/>
      <c r="AB256" s="549"/>
      <c r="AC256" s="549"/>
      <c r="AD256" s="549"/>
      <c r="AE256" s="549"/>
      <c r="AF256" s="549"/>
      <c r="AG256" s="549"/>
      <c r="AH256" s="549"/>
      <c r="AI256" s="549"/>
      <c r="AJ256" s="549"/>
      <c r="AK256" s="549"/>
      <c r="AL256" s="549"/>
      <c r="AM256" s="549"/>
      <c r="AN256" s="549"/>
      <c r="AO256" s="549"/>
      <c r="AP256" s="549"/>
      <c r="AQ256" s="549"/>
      <c r="AR256" s="549"/>
      <c r="AS256" s="549"/>
      <c r="AT256" s="549"/>
      <c r="AU256" s="549"/>
      <c r="AV256" s="549"/>
      <c r="AW256" s="549"/>
      <c r="AX256" s="549"/>
      <c r="AY256" s="549"/>
      <c r="AZ256" s="549"/>
      <c r="BA256" s="549"/>
      <c r="BB256" s="549"/>
      <c r="BC256" s="549"/>
      <c r="BD256" s="549"/>
      <c r="BE256" s="549"/>
      <c r="BF256" s="549"/>
      <c r="BG256" s="549"/>
      <c r="BH256" s="549"/>
      <c r="BI256" s="549"/>
      <c r="BJ256" s="549"/>
      <c r="BK256" s="549"/>
      <c r="BL256" s="549"/>
      <c r="BM256" s="549"/>
      <c r="BN256" s="549"/>
      <c r="BO256" s="549"/>
      <c r="BP256" s="549"/>
      <c r="BQ256" s="549"/>
      <c r="BR256" s="549"/>
      <c r="BS256" s="549"/>
      <c r="BT256" s="549"/>
      <c r="BU256" s="549"/>
      <c r="BV256" s="549"/>
      <c r="BW256" s="549"/>
      <c r="BX256" s="549"/>
      <c r="BY256" s="549"/>
      <c r="BZ256" s="549"/>
      <c r="CA256" s="549"/>
    </row>
    <row r="257" spans="1:79" ht="15.75" customHeight="1">
      <c r="A257" s="614"/>
      <c r="B257" s="549"/>
      <c r="C257" s="549"/>
      <c r="D257" s="549"/>
      <c r="E257" s="549"/>
      <c r="F257" s="549"/>
      <c r="G257" s="549"/>
      <c r="H257" s="549"/>
      <c r="I257" s="549"/>
      <c r="J257" s="549"/>
      <c r="K257" s="549"/>
      <c r="L257" s="549"/>
      <c r="M257" s="549"/>
      <c r="N257" s="549"/>
      <c r="O257" s="549"/>
      <c r="P257" s="549"/>
      <c r="Q257" s="549"/>
      <c r="R257" s="549"/>
      <c r="S257" s="549"/>
      <c r="T257" s="549"/>
      <c r="U257" s="549"/>
      <c r="V257" s="549"/>
      <c r="W257" s="549"/>
      <c r="X257" s="549"/>
      <c r="Y257" s="549"/>
      <c r="Z257" s="549"/>
      <c r="AA257" s="549"/>
      <c r="AB257" s="549"/>
      <c r="AC257" s="549"/>
      <c r="AD257" s="549"/>
      <c r="AE257" s="549"/>
      <c r="AF257" s="549"/>
      <c r="AG257" s="549"/>
      <c r="AH257" s="549"/>
      <c r="AI257" s="549"/>
      <c r="AJ257" s="549"/>
      <c r="AK257" s="549"/>
      <c r="AL257" s="549"/>
      <c r="AM257" s="549"/>
      <c r="AN257" s="549"/>
      <c r="AO257" s="549"/>
      <c r="AP257" s="549"/>
      <c r="AQ257" s="549"/>
      <c r="AR257" s="549"/>
      <c r="AS257" s="549"/>
      <c r="AT257" s="549"/>
      <c r="AU257" s="549"/>
      <c r="AV257" s="549"/>
      <c r="AW257" s="549"/>
      <c r="AX257" s="549"/>
      <c r="AY257" s="549"/>
      <c r="AZ257" s="549"/>
      <c r="BA257" s="549"/>
      <c r="BB257" s="549"/>
      <c r="BC257" s="549"/>
      <c r="BD257" s="549"/>
      <c r="BE257" s="549"/>
      <c r="BF257" s="549"/>
      <c r="BG257" s="549"/>
      <c r="BH257" s="549"/>
      <c r="BI257" s="549"/>
      <c r="BJ257" s="549"/>
      <c r="BK257" s="549"/>
      <c r="BL257" s="549"/>
      <c r="BM257" s="549"/>
      <c r="BN257" s="549"/>
      <c r="BO257" s="549"/>
      <c r="BP257" s="549"/>
      <c r="BQ257" s="549"/>
      <c r="BR257" s="549"/>
      <c r="BS257" s="549"/>
      <c r="BT257" s="549"/>
      <c r="BU257" s="549"/>
      <c r="BV257" s="549"/>
      <c r="BW257" s="549"/>
      <c r="BX257" s="549"/>
      <c r="BY257" s="549"/>
      <c r="BZ257" s="549"/>
      <c r="CA257" s="549"/>
    </row>
    <row r="258" spans="1:79" ht="15.75" customHeight="1">
      <c r="A258" s="614"/>
      <c r="B258" s="549"/>
      <c r="C258" s="549"/>
      <c r="D258" s="549"/>
      <c r="E258" s="549"/>
      <c r="F258" s="549"/>
      <c r="G258" s="549"/>
      <c r="H258" s="549"/>
      <c r="I258" s="549"/>
      <c r="J258" s="549"/>
      <c r="K258" s="549"/>
      <c r="L258" s="549"/>
      <c r="M258" s="549"/>
      <c r="N258" s="549"/>
      <c r="O258" s="549"/>
      <c r="P258" s="549"/>
      <c r="Q258" s="549"/>
      <c r="R258" s="549"/>
      <c r="S258" s="549"/>
      <c r="T258" s="549"/>
      <c r="U258" s="549"/>
      <c r="V258" s="549"/>
      <c r="W258" s="549"/>
      <c r="X258" s="549"/>
      <c r="Y258" s="549"/>
      <c r="Z258" s="549"/>
      <c r="AA258" s="549"/>
      <c r="AB258" s="549"/>
      <c r="AC258" s="549"/>
      <c r="AD258" s="549"/>
      <c r="AE258" s="549"/>
      <c r="AF258" s="549"/>
      <c r="AG258" s="549"/>
      <c r="AH258" s="549"/>
      <c r="AI258" s="549"/>
      <c r="AJ258" s="549"/>
      <c r="AK258" s="549"/>
      <c r="AL258" s="549"/>
      <c r="AM258" s="549"/>
      <c r="AN258" s="549"/>
      <c r="AO258" s="549"/>
      <c r="AP258" s="549"/>
      <c r="AQ258" s="549"/>
      <c r="AR258" s="549"/>
      <c r="AS258" s="549"/>
      <c r="AT258" s="549"/>
      <c r="AU258" s="549"/>
      <c r="AV258" s="549"/>
      <c r="AW258" s="549"/>
      <c r="AX258" s="549"/>
      <c r="AY258" s="549"/>
      <c r="AZ258" s="549"/>
      <c r="BA258" s="549"/>
      <c r="BB258" s="549"/>
      <c r="BC258" s="549"/>
      <c r="BD258" s="549"/>
      <c r="BE258" s="549"/>
      <c r="BF258" s="549"/>
      <c r="BG258" s="549"/>
      <c r="BH258" s="549"/>
      <c r="BI258" s="549"/>
      <c r="BJ258" s="549"/>
      <c r="BK258" s="549"/>
      <c r="BL258" s="549"/>
      <c r="BM258" s="549"/>
      <c r="BN258" s="549"/>
      <c r="BO258" s="549"/>
      <c r="BP258" s="549"/>
      <c r="BQ258" s="549"/>
      <c r="BR258" s="549"/>
      <c r="BS258" s="549"/>
      <c r="BT258" s="549"/>
      <c r="BU258" s="549"/>
      <c r="BV258" s="549"/>
      <c r="BW258" s="549"/>
      <c r="BX258" s="549"/>
      <c r="BY258" s="549"/>
      <c r="BZ258" s="549"/>
      <c r="CA258" s="549"/>
    </row>
    <row r="259" spans="1:79" ht="15.75" customHeight="1">
      <c r="A259" s="614"/>
      <c r="B259" s="549"/>
      <c r="C259" s="549"/>
      <c r="D259" s="549"/>
      <c r="E259" s="549"/>
      <c r="F259" s="549"/>
      <c r="G259" s="549"/>
      <c r="H259" s="549"/>
      <c r="I259" s="549"/>
      <c r="J259" s="549"/>
      <c r="K259" s="549"/>
      <c r="L259" s="549"/>
      <c r="M259" s="549"/>
      <c r="N259" s="549"/>
      <c r="O259" s="549"/>
      <c r="P259" s="549"/>
      <c r="Q259" s="549"/>
      <c r="R259" s="549"/>
      <c r="S259" s="549"/>
      <c r="T259" s="549"/>
      <c r="U259" s="549"/>
      <c r="V259" s="549"/>
      <c r="W259" s="549"/>
      <c r="X259" s="549"/>
      <c r="Y259" s="549"/>
      <c r="Z259" s="549"/>
      <c r="AA259" s="549"/>
      <c r="AB259" s="549"/>
      <c r="AC259" s="549"/>
      <c r="AD259" s="549"/>
      <c r="AE259" s="549"/>
      <c r="AF259" s="549"/>
      <c r="AG259" s="549"/>
      <c r="AH259" s="549"/>
      <c r="AI259" s="549"/>
      <c r="AJ259" s="549"/>
      <c r="AK259" s="549"/>
      <c r="AL259" s="549"/>
      <c r="AM259" s="549"/>
      <c r="AN259" s="549"/>
      <c r="AO259" s="549"/>
      <c r="AP259" s="549"/>
      <c r="AQ259" s="549"/>
      <c r="AR259" s="549"/>
      <c r="AS259" s="549"/>
      <c r="AT259" s="549"/>
      <c r="AU259" s="549"/>
      <c r="AV259" s="549"/>
      <c r="AW259" s="549"/>
      <c r="AX259" s="549"/>
      <c r="AY259" s="549"/>
      <c r="AZ259" s="549"/>
      <c r="BA259" s="549"/>
      <c r="BB259" s="549"/>
      <c r="BC259" s="549"/>
      <c r="BD259" s="549"/>
      <c r="BE259" s="549"/>
      <c r="BF259" s="549"/>
      <c r="BG259" s="549"/>
      <c r="BH259" s="549"/>
      <c r="BI259" s="549"/>
      <c r="BJ259" s="549"/>
      <c r="BK259" s="549"/>
      <c r="BL259" s="549"/>
      <c r="BM259" s="549"/>
      <c r="BN259" s="549"/>
      <c r="BO259" s="549"/>
      <c r="BP259" s="549"/>
      <c r="BQ259" s="549"/>
      <c r="BR259" s="549"/>
      <c r="BS259" s="549"/>
      <c r="BT259" s="549"/>
      <c r="BU259" s="549"/>
      <c r="BV259" s="549"/>
      <c r="BW259" s="549"/>
      <c r="BX259" s="549"/>
      <c r="BY259" s="549"/>
      <c r="BZ259" s="549"/>
      <c r="CA259" s="549"/>
    </row>
    <row r="260" spans="1:79" ht="15.75" customHeight="1">
      <c r="A260" s="614"/>
      <c r="B260" s="549"/>
      <c r="C260" s="549"/>
      <c r="D260" s="549"/>
      <c r="E260" s="549"/>
      <c r="F260" s="549"/>
      <c r="G260" s="549"/>
      <c r="H260" s="549"/>
      <c r="I260" s="549"/>
      <c r="J260" s="549"/>
      <c r="K260" s="549"/>
      <c r="L260" s="549"/>
      <c r="M260" s="549"/>
      <c r="N260" s="549"/>
      <c r="O260" s="549"/>
      <c r="P260" s="549"/>
      <c r="Q260" s="549"/>
      <c r="R260" s="549"/>
      <c r="S260" s="549"/>
      <c r="T260" s="549"/>
      <c r="U260" s="549"/>
      <c r="V260" s="549"/>
      <c r="W260" s="549"/>
      <c r="X260" s="549"/>
      <c r="Y260" s="549"/>
      <c r="Z260" s="549"/>
      <c r="AA260" s="549"/>
      <c r="AB260" s="549"/>
      <c r="AC260" s="549"/>
      <c r="AD260" s="549"/>
      <c r="AE260" s="549"/>
      <c r="AF260" s="549"/>
      <c r="AG260" s="549"/>
      <c r="AH260" s="549"/>
      <c r="AI260" s="549"/>
      <c r="AJ260" s="549"/>
      <c r="AK260" s="549"/>
      <c r="AL260" s="549"/>
      <c r="AM260" s="549"/>
      <c r="AN260" s="549"/>
      <c r="AO260" s="549"/>
      <c r="AP260" s="549"/>
      <c r="AQ260" s="549"/>
      <c r="AR260" s="549"/>
      <c r="AS260" s="549"/>
      <c r="AT260" s="549"/>
      <c r="AU260" s="549"/>
      <c r="AV260" s="549"/>
      <c r="AW260" s="549"/>
      <c r="AX260" s="549"/>
      <c r="AY260" s="549"/>
      <c r="AZ260" s="549"/>
      <c r="BA260" s="549"/>
      <c r="BB260" s="549"/>
      <c r="BC260" s="549"/>
      <c r="BD260" s="549"/>
      <c r="BE260" s="549"/>
      <c r="BF260" s="549"/>
      <c r="BG260" s="549"/>
      <c r="BH260" s="549"/>
      <c r="BI260" s="549"/>
      <c r="BJ260" s="549"/>
      <c r="BK260" s="549"/>
      <c r="BL260" s="549"/>
      <c r="BM260" s="549"/>
      <c r="BN260" s="549"/>
      <c r="BO260" s="549"/>
      <c r="BP260" s="549"/>
      <c r="BQ260" s="549"/>
      <c r="BR260" s="549"/>
      <c r="BS260" s="549"/>
      <c r="BT260" s="549"/>
      <c r="BU260" s="549"/>
      <c r="BV260" s="549"/>
      <c r="BW260" s="549"/>
      <c r="BX260" s="549"/>
      <c r="BY260" s="549"/>
      <c r="BZ260" s="549"/>
      <c r="CA260" s="549"/>
    </row>
    <row r="261" spans="1:79" ht="15.75" customHeight="1">
      <c r="A261" s="614"/>
      <c r="B261" s="549"/>
      <c r="C261" s="549"/>
      <c r="D261" s="549"/>
      <c r="E261" s="549"/>
      <c r="F261" s="549"/>
      <c r="G261" s="549"/>
      <c r="H261" s="549"/>
      <c r="I261" s="549"/>
      <c r="J261" s="549"/>
      <c r="K261" s="549"/>
      <c r="L261" s="549"/>
      <c r="M261" s="549"/>
      <c r="N261" s="549"/>
      <c r="O261" s="549"/>
      <c r="P261" s="549"/>
      <c r="Q261" s="549"/>
      <c r="R261" s="549"/>
      <c r="S261" s="549"/>
      <c r="T261" s="549"/>
      <c r="U261" s="549"/>
      <c r="V261" s="549"/>
      <c r="W261" s="549"/>
      <c r="X261" s="549"/>
      <c r="Y261" s="549"/>
      <c r="Z261" s="549"/>
      <c r="AA261" s="549"/>
      <c r="AB261" s="549"/>
      <c r="AC261" s="549"/>
      <c r="AD261" s="549"/>
      <c r="AE261" s="549"/>
      <c r="AF261" s="549"/>
      <c r="AG261" s="549"/>
      <c r="AH261" s="549"/>
      <c r="AI261" s="549"/>
      <c r="AJ261" s="549"/>
      <c r="AK261" s="549"/>
      <c r="AL261" s="549"/>
      <c r="AM261" s="549"/>
      <c r="AN261" s="549"/>
      <c r="AO261" s="549"/>
      <c r="AP261" s="549"/>
      <c r="AQ261" s="549"/>
      <c r="AR261" s="549"/>
      <c r="AS261" s="549"/>
      <c r="AT261" s="549"/>
      <c r="AU261" s="549"/>
      <c r="AV261" s="549"/>
      <c r="AW261" s="549"/>
      <c r="AX261" s="549"/>
      <c r="AY261" s="549"/>
      <c r="AZ261" s="549"/>
      <c r="BA261" s="549"/>
      <c r="BB261" s="549"/>
      <c r="BC261" s="549"/>
      <c r="BD261" s="549"/>
      <c r="BE261" s="549"/>
      <c r="BF261" s="549"/>
      <c r="BG261" s="549"/>
      <c r="BH261" s="549"/>
      <c r="BI261" s="549"/>
      <c r="BJ261" s="549"/>
      <c r="BK261" s="549"/>
      <c r="BL261" s="549"/>
      <c r="BM261" s="549"/>
      <c r="BN261" s="549"/>
      <c r="BO261" s="549"/>
      <c r="BP261" s="549"/>
      <c r="BQ261" s="549"/>
      <c r="BR261" s="549"/>
      <c r="BS261" s="549"/>
      <c r="BT261" s="549"/>
      <c r="BU261" s="549"/>
      <c r="BV261" s="549"/>
      <c r="BW261" s="549"/>
      <c r="BX261" s="549"/>
      <c r="BY261" s="549"/>
      <c r="BZ261" s="549"/>
      <c r="CA261" s="549"/>
    </row>
    <row r="262" spans="1:79" ht="15.75" customHeight="1">
      <c r="A262" s="614"/>
      <c r="B262" s="549"/>
      <c r="C262" s="549"/>
      <c r="D262" s="549"/>
      <c r="E262" s="549"/>
      <c r="F262" s="549"/>
      <c r="G262" s="549"/>
      <c r="H262" s="549"/>
      <c r="I262" s="549"/>
      <c r="J262" s="549"/>
      <c r="K262" s="549"/>
      <c r="L262" s="549"/>
      <c r="M262" s="549"/>
      <c r="N262" s="549"/>
      <c r="O262" s="549"/>
      <c r="P262" s="549"/>
      <c r="Q262" s="549"/>
      <c r="R262" s="549"/>
      <c r="S262" s="549"/>
      <c r="T262" s="549"/>
      <c r="U262" s="549"/>
      <c r="V262" s="549"/>
      <c r="W262" s="549"/>
      <c r="X262" s="549"/>
      <c r="Y262" s="549"/>
      <c r="Z262" s="549"/>
      <c r="AA262" s="549"/>
      <c r="AB262" s="549"/>
      <c r="AC262" s="549"/>
      <c r="AD262" s="549"/>
      <c r="AE262" s="549"/>
      <c r="AF262" s="549"/>
      <c r="AG262" s="549"/>
      <c r="AH262" s="549"/>
      <c r="AI262" s="549"/>
      <c r="AJ262" s="549"/>
      <c r="AK262" s="549"/>
      <c r="AL262" s="549"/>
      <c r="AM262" s="549"/>
      <c r="AN262" s="549"/>
      <c r="AO262" s="549"/>
      <c r="AP262" s="549"/>
      <c r="AQ262" s="549"/>
      <c r="AR262" s="549"/>
      <c r="AS262" s="549"/>
      <c r="AT262" s="549"/>
      <c r="AU262" s="549"/>
      <c r="AV262" s="549"/>
      <c r="AW262" s="549"/>
      <c r="AX262" s="549"/>
      <c r="AY262" s="549"/>
      <c r="AZ262" s="549"/>
      <c r="BA262" s="549"/>
      <c r="BB262" s="549"/>
      <c r="BC262" s="549"/>
      <c r="BD262" s="549"/>
      <c r="BE262" s="549"/>
      <c r="BF262" s="549"/>
      <c r="BG262" s="549"/>
      <c r="BH262" s="549"/>
      <c r="BI262" s="549"/>
      <c r="BJ262" s="549"/>
      <c r="BK262" s="549"/>
      <c r="BL262" s="549"/>
      <c r="BM262" s="549"/>
      <c r="BN262" s="549"/>
      <c r="BO262" s="549"/>
      <c r="BP262" s="549"/>
      <c r="BQ262" s="549"/>
      <c r="BR262" s="549"/>
      <c r="BS262" s="549"/>
      <c r="BT262" s="549"/>
      <c r="BU262" s="549"/>
      <c r="BV262" s="549"/>
      <c r="BW262" s="549"/>
      <c r="BX262" s="549"/>
      <c r="BY262" s="549"/>
      <c r="BZ262" s="549"/>
      <c r="CA262" s="549"/>
    </row>
    <row r="263" spans="1:79" ht="15.75" customHeight="1">
      <c r="A263" s="614"/>
      <c r="B263" s="549"/>
      <c r="C263" s="549"/>
      <c r="D263" s="549"/>
      <c r="E263" s="549"/>
      <c r="F263" s="549"/>
      <c r="G263" s="549"/>
      <c r="H263" s="549"/>
      <c r="I263" s="549"/>
      <c r="J263" s="549"/>
      <c r="K263" s="549"/>
      <c r="L263" s="549"/>
      <c r="M263" s="549"/>
      <c r="N263" s="549"/>
      <c r="O263" s="549"/>
      <c r="P263" s="549"/>
      <c r="Q263" s="549"/>
      <c r="R263" s="549"/>
      <c r="S263" s="549"/>
      <c r="T263" s="549"/>
      <c r="U263" s="549"/>
      <c r="V263" s="549"/>
      <c r="W263" s="549"/>
      <c r="X263" s="549"/>
      <c r="Y263" s="549"/>
      <c r="Z263" s="549"/>
      <c r="AA263" s="549"/>
      <c r="AB263" s="549"/>
      <c r="AC263" s="549"/>
      <c r="AD263" s="549"/>
      <c r="AE263" s="549"/>
      <c r="AF263" s="549"/>
      <c r="AG263" s="549"/>
      <c r="AH263" s="549"/>
      <c r="AI263" s="549"/>
      <c r="AJ263" s="549"/>
      <c r="AK263" s="549"/>
      <c r="AL263" s="549"/>
      <c r="AM263" s="549"/>
      <c r="AN263" s="549"/>
      <c r="AO263" s="549"/>
      <c r="AP263" s="549"/>
      <c r="AQ263" s="549"/>
      <c r="AR263" s="549"/>
      <c r="AS263" s="549"/>
      <c r="AT263" s="549"/>
      <c r="AU263" s="549"/>
      <c r="AV263" s="549"/>
      <c r="AW263" s="549"/>
      <c r="AX263" s="549"/>
      <c r="AY263" s="549"/>
      <c r="AZ263" s="549"/>
      <c r="BA263" s="549"/>
      <c r="BB263" s="549"/>
      <c r="BC263" s="549"/>
      <c r="BD263" s="549"/>
      <c r="BE263" s="549"/>
      <c r="BF263" s="549"/>
      <c r="BG263" s="549"/>
      <c r="BH263" s="549"/>
      <c r="BI263" s="549"/>
      <c r="BJ263" s="549"/>
      <c r="BK263" s="549"/>
      <c r="BL263" s="549"/>
      <c r="BM263" s="549"/>
      <c r="BN263" s="549"/>
      <c r="BO263" s="549"/>
      <c r="BP263" s="549"/>
      <c r="BQ263" s="549"/>
      <c r="BR263" s="549"/>
      <c r="BS263" s="549"/>
      <c r="BT263" s="549"/>
      <c r="BU263" s="549"/>
      <c r="BV263" s="549"/>
      <c r="BW263" s="549"/>
      <c r="BX263" s="549"/>
      <c r="BY263" s="549"/>
      <c r="BZ263" s="549"/>
      <c r="CA263" s="549"/>
    </row>
    <row r="264" spans="1:79" ht="15.75" customHeight="1">
      <c r="A264" s="614"/>
      <c r="B264" s="549"/>
      <c r="C264" s="549"/>
      <c r="D264" s="549"/>
      <c r="E264" s="549"/>
      <c r="F264" s="549"/>
      <c r="G264" s="549"/>
      <c r="H264" s="549"/>
      <c r="I264" s="549"/>
      <c r="J264" s="549"/>
      <c r="K264" s="549"/>
      <c r="L264" s="549"/>
      <c r="M264" s="549"/>
      <c r="N264" s="549"/>
      <c r="O264" s="549"/>
      <c r="P264" s="549"/>
      <c r="Q264" s="549"/>
      <c r="R264" s="549"/>
      <c r="S264" s="549"/>
      <c r="T264" s="549"/>
      <c r="U264" s="549"/>
      <c r="V264" s="549"/>
      <c r="W264" s="549"/>
      <c r="X264" s="549"/>
      <c r="Y264" s="549"/>
      <c r="Z264" s="549"/>
      <c r="AA264" s="549"/>
      <c r="AB264" s="549"/>
      <c r="AC264" s="549"/>
      <c r="AD264" s="549"/>
      <c r="AE264" s="549"/>
      <c r="AF264" s="549"/>
      <c r="AG264" s="549"/>
      <c r="AH264" s="549"/>
      <c r="AI264" s="549"/>
      <c r="AJ264" s="549"/>
      <c r="AK264" s="549"/>
      <c r="AL264" s="549"/>
      <c r="AM264" s="549"/>
      <c r="AN264" s="549"/>
      <c r="AO264" s="549"/>
      <c r="AP264" s="549"/>
      <c r="AQ264" s="549"/>
      <c r="AR264" s="549"/>
      <c r="AS264" s="549"/>
      <c r="AT264" s="549"/>
      <c r="AU264" s="549"/>
      <c r="AV264" s="549"/>
      <c r="AW264" s="549"/>
      <c r="AX264" s="549"/>
      <c r="AY264" s="549"/>
      <c r="AZ264" s="549"/>
      <c r="BA264" s="549"/>
      <c r="BB264" s="549"/>
      <c r="BC264" s="549"/>
      <c r="BD264" s="549"/>
      <c r="BE264" s="549"/>
      <c r="BF264" s="549"/>
      <c r="BG264" s="549"/>
      <c r="BH264" s="549"/>
      <c r="BI264" s="549"/>
      <c r="BJ264" s="549"/>
      <c r="BK264" s="549"/>
      <c r="BL264" s="549"/>
      <c r="BM264" s="549"/>
      <c r="BN264" s="549"/>
      <c r="BO264" s="549"/>
      <c r="BP264" s="549"/>
      <c r="BQ264" s="549"/>
      <c r="BR264" s="549"/>
      <c r="BS264" s="549"/>
      <c r="BT264" s="549"/>
      <c r="BU264" s="549"/>
      <c r="BV264" s="549"/>
      <c r="BW264" s="549"/>
      <c r="BX264" s="549"/>
      <c r="BY264" s="549"/>
      <c r="BZ264" s="549"/>
      <c r="CA264" s="549"/>
    </row>
    <row r="265" spans="1:79" ht="15.75" customHeight="1">
      <c r="A265" s="614"/>
      <c r="B265" s="549"/>
      <c r="C265" s="549"/>
      <c r="D265" s="549"/>
      <c r="E265" s="549"/>
      <c r="F265" s="549"/>
      <c r="G265" s="549"/>
      <c r="H265" s="549"/>
      <c r="I265" s="549"/>
      <c r="J265" s="549"/>
      <c r="K265" s="549"/>
      <c r="L265" s="549"/>
      <c r="M265" s="549"/>
      <c r="N265" s="549"/>
      <c r="O265" s="549"/>
      <c r="P265" s="549"/>
      <c r="Q265" s="549"/>
      <c r="R265" s="549"/>
      <c r="S265" s="549"/>
      <c r="T265" s="549"/>
      <c r="U265" s="549"/>
      <c r="V265" s="549"/>
      <c r="W265" s="549"/>
      <c r="X265" s="549"/>
      <c r="Y265" s="549"/>
      <c r="Z265" s="549"/>
      <c r="AA265" s="549"/>
      <c r="AB265" s="549"/>
      <c r="AC265" s="549"/>
      <c r="AD265" s="549"/>
      <c r="AE265" s="549"/>
      <c r="AF265" s="549"/>
      <c r="AG265" s="549"/>
      <c r="AH265" s="549"/>
      <c r="AI265" s="549"/>
      <c r="AJ265" s="549"/>
      <c r="AK265" s="549"/>
      <c r="AL265" s="549"/>
      <c r="AM265" s="549"/>
      <c r="AN265" s="549"/>
      <c r="AO265" s="549"/>
      <c r="AP265" s="549"/>
      <c r="AQ265" s="549"/>
      <c r="AR265" s="549"/>
      <c r="AS265" s="549"/>
      <c r="AT265" s="549"/>
      <c r="AU265" s="549"/>
      <c r="AV265" s="549"/>
      <c r="AW265" s="549"/>
      <c r="AX265" s="549"/>
      <c r="AY265" s="549"/>
      <c r="AZ265" s="549"/>
      <c r="BA265" s="549"/>
      <c r="BB265" s="549"/>
      <c r="BC265" s="549"/>
      <c r="BD265" s="549"/>
      <c r="BE265" s="549"/>
      <c r="BF265" s="549"/>
      <c r="BG265" s="549"/>
      <c r="BH265" s="549"/>
      <c r="BI265" s="549"/>
      <c r="BJ265" s="549"/>
      <c r="BK265" s="549"/>
      <c r="BL265" s="549"/>
      <c r="BM265" s="549"/>
      <c r="BN265" s="549"/>
      <c r="BO265" s="549"/>
      <c r="BP265" s="549"/>
      <c r="BQ265" s="549"/>
      <c r="BR265" s="549"/>
      <c r="BS265" s="549"/>
      <c r="BT265" s="549"/>
      <c r="BU265" s="549"/>
      <c r="BV265" s="549"/>
      <c r="BW265" s="549"/>
      <c r="BX265" s="549"/>
      <c r="BY265" s="549"/>
      <c r="BZ265" s="549"/>
      <c r="CA265" s="549"/>
    </row>
    <row r="266" spans="1:79" ht="15.75" customHeight="1">
      <c r="A266" s="614"/>
      <c r="B266" s="549"/>
      <c r="C266" s="549"/>
      <c r="D266" s="549"/>
      <c r="E266" s="549"/>
      <c r="F266" s="549"/>
      <c r="G266" s="549"/>
      <c r="H266" s="549"/>
      <c r="I266" s="549"/>
      <c r="J266" s="549"/>
      <c r="K266" s="549"/>
      <c r="L266" s="549"/>
      <c r="M266" s="549"/>
      <c r="N266" s="549"/>
      <c r="O266" s="549"/>
      <c r="P266" s="549"/>
      <c r="Q266" s="549"/>
      <c r="R266" s="549"/>
      <c r="S266" s="549"/>
      <c r="T266" s="549"/>
      <c r="U266" s="549"/>
      <c r="V266" s="549"/>
      <c r="W266" s="549"/>
      <c r="X266" s="549"/>
      <c r="Y266" s="549"/>
      <c r="Z266" s="549"/>
      <c r="AA266" s="549"/>
      <c r="AB266" s="549"/>
      <c r="AC266" s="549"/>
      <c r="AD266" s="549"/>
      <c r="AE266" s="549"/>
      <c r="AF266" s="549"/>
      <c r="AG266" s="549"/>
      <c r="AH266" s="549"/>
      <c r="AI266" s="549"/>
      <c r="AJ266" s="549"/>
      <c r="AK266" s="549"/>
      <c r="AL266" s="549"/>
      <c r="AM266" s="549"/>
      <c r="AN266" s="549"/>
      <c r="AO266" s="549"/>
      <c r="AP266" s="549"/>
      <c r="AQ266" s="549"/>
      <c r="AR266" s="549"/>
      <c r="AS266" s="549"/>
      <c r="AT266" s="549"/>
      <c r="AU266" s="549"/>
      <c r="AV266" s="549"/>
      <c r="AW266" s="549"/>
      <c r="AX266" s="549"/>
      <c r="AY266" s="549"/>
      <c r="AZ266" s="549"/>
      <c r="BA266" s="549"/>
      <c r="BB266" s="549"/>
      <c r="BC266" s="549"/>
      <c r="BD266" s="549"/>
      <c r="BE266" s="549"/>
      <c r="BF266" s="549"/>
      <c r="BG266" s="549"/>
      <c r="BH266" s="549"/>
      <c r="BI266" s="549"/>
      <c r="BJ266" s="549"/>
      <c r="BK266" s="549"/>
      <c r="BL266" s="549"/>
      <c r="BM266" s="549"/>
      <c r="BN266" s="549"/>
      <c r="BO266" s="549"/>
      <c r="BP266" s="549"/>
      <c r="BQ266" s="549"/>
      <c r="BR266" s="549"/>
      <c r="BS266" s="549"/>
      <c r="BT266" s="549"/>
      <c r="BU266" s="549"/>
      <c r="BV266" s="549"/>
      <c r="BW266" s="549"/>
      <c r="BX266" s="549"/>
      <c r="BY266" s="549"/>
      <c r="BZ266" s="549"/>
      <c r="CA266" s="549"/>
    </row>
    <row r="267" spans="1:79" ht="15.75" customHeight="1">
      <c r="A267" s="614"/>
      <c r="B267" s="549"/>
      <c r="C267" s="549"/>
      <c r="D267" s="549"/>
      <c r="E267" s="549"/>
      <c r="F267" s="549"/>
      <c r="G267" s="549"/>
      <c r="H267" s="549"/>
      <c r="I267" s="549"/>
      <c r="J267" s="549"/>
      <c r="K267" s="549"/>
      <c r="L267" s="549"/>
      <c r="M267" s="549"/>
      <c r="N267" s="549"/>
      <c r="O267" s="549"/>
      <c r="P267" s="549"/>
      <c r="Q267" s="549"/>
      <c r="R267" s="549"/>
      <c r="S267" s="549"/>
      <c r="T267" s="549"/>
      <c r="U267" s="549"/>
      <c r="V267" s="549"/>
      <c r="W267" s="549"/>
      <c r="X267" s="549"/>
      <c r="Y267" s="549"/>
      <c r="Z267" s="549"/>
      <c r="AA267" s="549"/>
      <c r="AB267" s="549"/>
      <c r="AC267" s="549"/>
      <c r="AD267" s="549"/>
      <c r="AE267" s="549"/>
      <c r="AF267" s="549"/>
      <c r="AG267" s="549"/>
      <c r="AH267" s="549"/>
      <c r="AI267" s="549"/>
      <c r="AJ267" s="549"/>
      <c r="AK267" s="549"/>
      <c r="AL267" s="549"/>
      <c r="AM267" s="549"/>
      <c r="AN267" s="549"/>
      <c r="AO267" s="549"/>
      <c r="AP267" s="549"/>
      <c r="AQ267" s="549"/>
      <c r="AR267" s="549"/>
      <c r="AS267" s="549"/>
      <c r="AT267" s="549"/>
      <c r="AU267" s="549"/>
      <c r="AV267" s="549"/>
      <c r="AW267" s="549"/>
      <c r="AX267" s="549"/>
      <c r="AY267" s="549"/>
      <c r="AZ267" s="549"/>
      <c r="BA267" s="549"/>
      <c r="BB267" s="549"/>
      <c r="BC267" s="549"/>
      <c r="BD267" s="549"/>
      <c r="BE267" s="549"/>
      <c r="BF267" s="549"/>
      <c r="BG267" s="549"/>
      <c r="BH267" s="549"/>
      <c r="BI267" s="549"/>
      <c r="BJ267" s="549"/>
      <c r="BK267" s="549"/>
      <c r="BL267" s="549"/>
      <c r="BM267" s="549"/>
      <c r="BN267" s="549"/>
      <c r="BO267" s="549"/>
      <c r="BP267" s="549"/>
      <c r="BQ267" s="549"/>
      <c r="BR267" s="549"/>
      <c r="BS267" s="549"/>
      <c r="BT267" s="549"/>
      <c r="BU267" s="549"/>
      <c r="BV267" s="549"/>
      <c r="BW267" s="549"/>
      <c r="BX267" s="549"/>
      <c r="BY267" s="549"/>
      <c r="BZ267" s="549"/>
      <c r="CA267" s="549"/>
    </row>
    <row r="268" spans="1:79" ht="15.75" customHeight="1"/>
    <row r="269" spans="1:79" ht="15.75" customHeight="1"/>
    <row r="270" spans="1:79" ht="15.75" customHeight="1"/>
    <row r="271" spans="1:79" ht="15.75" customHeight="1"/>
    <row r="272" spans="1:79"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35:B35"/>
    <mergeCell ref="A43:B4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C89C-E5D5-459B-A949-B6592B85EC2F}">
  <sheetPr>
    <tabColor theme="5" tint="0.59999389629810485"/>
    <outlinePr summaryBelow="0" summaryRight="0"/>
  </sheetPr>
  <dimension ref="A1:Z1000"/>
  <sheetViews>
    <sheetView workbookViewId="0">
      <selection activeCell="F3" sqref="F3"/>
    </sheetView>
  </sheetViews>
  <sheetFormatPr defaultColWidth="12.6640625" defaultRowHeight="15" customHeight="1"/>
  <cols>
    <col min="1" max="1" width="12.6640625" style="535" customWidth="1"/>
    <col min="2" max="2" width="23.77734375" style="535" customWidth="1"/>
    <col min="3" max="3" width="23.109375" style="535" customWidth="1"/>
    <col min="4" max="4" width="23.77734375" style="535" customWidth="1"/>
    <col min="5" max="5" width="23.88671875" style="535" customWidth="1"/>
    <col min="6" max="6" width="21.88671875" style="535" customWidth="1"/>
    <col min="7" max="16384" width="12.6640625" style="535"/>
  </cols>
  <sheetData>
    <row r="1" spans="1:26" ht="15.75" customHeight="1">
      <c r="A1" s="617"/>
      <c r="B1" s="618" t="s">
        <v>564</v>
      </c>
      <c r="C1" s="618"/>
      <c r="D1" s="618"/>
      <c r="E1" s="618"/>
      <c r="F1" s="618"/>
      <c r="G1" s="618"/>
      <c r="H1" s="618"/>
      <c r="I1" s="618"/>
      <c r="J1" s="618"/>
      <c r="K1" s="618"/>
      <c r="L1" s="618"/>
      <c r="M1" s="618"/>
      <c r="N1" s="618"/>
      <c r="O1" s="618"/>
      <c r="P1" s="618"/>
      <c r="Q1" s="618"/>
      <c r="R1" s="618"/>
      <c r="S1" s="618"/>
      <c r="T1" s="618"/>
      <c r="U1" s="618"/>
      <c r="V1" s="618"/>
      <c r="W1" s="618"/>
      <c r="X1" s="618"/>
      <c r="Y1" s="618"/>
      <c r="Z1" s="618"/>
    </row>
    <row r="2" spans="1:26" ht="15.75" customHeight="1">
      <c r="A2" s="617"/>
      <c r="B2" s="618"/>
      <c r="C2" s="618"/>
      <c r="D2" s="618"/>
      <c r="E2" s="618"/>
      <c r="F2" s="618"/>
      <c r="G2" s="618"/>
      <c r="H2" s="618"/>
      <c r="I2" s="618"/>
      <c r="J2" s="618"/>
      <c r="K2" s="618"/>
      <c r="L2" s="618"/>
      <c r="M2" s="618"/>
      <c r="N2" s="618"/>
      <c r="O2" s="618"/>
      <c r="P2" s="618"/>
      <c r="Q2" s="618"/>
      <c r="R2" s="618"/>
      <c r="S2" s="618"/>
      <c r="T2" s="618"/>
      <c r="U2" s="618"/>
      <c r="V2" s="618"/>
      <c r="W2" s="618"/>
      <c r="X2" s="618"/>
      <c r="Y2" s="618"/>
      <c r="Z2" s="618"/>
    </row>
    <row r="3" spans="1:26" ht="15.75" customHeight="1">
      <c r="A3" s="617"/>
      <c r="B3" s="619"/>
      <c r="C3" s="619"/>
      <c r="D3" s="619"/>
      <c r="E3" s="619"/>
      <c r="F3" s="619"/>
      <c r="G3" s="618"/>
      <c r="H3" s="618"/>
      <c r="I3" s="618"/>
      <c r="J3" s="618"/>
      <c r="K3" s="618"/>
      <c r="L3" s="618"/>
      <c r="M3" s="618"/>
      <c r="N3" s="618"/>
      <c r="O3" s="618"/>
      <c r="P3" s="618"/>
      <c r="Q3" s="618"/>
      <c r="R3" s="618"/>
      <c r="S3" s="618"/>
      <c r="T3" s="618"/>
      <c r="U3" s="618"/>
      <c r="V3" s="618"/>
      <c r="W3" s="618"/>
      <c r="X3" s="618"/>
      <c r="Y3" s="618"/>
      <c r="Z3" s="618"/>
    </row>
    <row r="4" spans="1:26" ht="15.75" customHeight="1">
      <c r="A4" s="617" t="s">
        <v>565</v>
      </c>
      <c r="B4" s="749" t="s">
        <v>566</v>
      </c>
      <c r="C4" s="751"/>
      <c r="D4" s="619"/>
      <c r="E4" s="619"/>
      <c r="F4" s="619"/>
      <c r="G4" s="618"/>
      <c r="H4" s="618"/>
      <c r="I4" s="618"/>
      <c r="J4" s="618"/>
      <c r="K4" s="618"/>
      <c r="L4" s="618"/>
      <c r="M4" s="618"/>
      <c r="N4" s="618"/>
      <c r="O4" s="618"/>
      <c r="P4" s="618"/>
      <c r="Q4" s="618"/>
      <c r="R4" s="618"/>
      <c r="S4" s="618"/>
      <c r="T4" s="618"/>
      <c r="U4" s="618"/>
      <c r="V4" s="618"/>
      <c r="W4" s="618"/>
      <c r="X4" s="618"/>
      <c r="Y4" s="618"/>
      <c r="Z4" s="618"/>
    </row>
    <row r="5" spans="1:26" ht="15.75" customHeight="1">
      <c r="A5" s="617"/>
      <c r="B5" s="620" t="s">
        <v>567</v>
      </c>
      <c r="C5" s="620" t="s">
        <v>568</v>
      </c>
      <c r="D5" s="619"/>
      <c r="E5" s="619"/>
      <c r="F5" s="619"/>
      <c r="G5" s="618"/>
      <c r="H5" s="618"/>
      <c r="I5" s="618"/>
      <c r="J5" s="618"/>
      <c r="K5" s="618"/>
      <c r="L5" s="618"/>
      <c r="M5" s="618"/>
      <c r="N5" s="618"/>
      <c r="O5" s="618"/>
      <c r="P5" s="618"/>
      <c r="Q5" s="618"/>
      <c r="R5" s="618"/>
      <c r="S5" s="618"/>
      <c r="T5" s="618"/>
      <c r="U5" s="618"/>
      <c r="V5" s="618"/>
      <c r="W5" s="618"/>
      <c r="X5" s="618"/>
      <c r="Y5" s="618"/>
      <c r="Z5" s="618"/>
    </row>
    <row r="6" spans="1:26" ht="15.75" customHeight="1">
      <c r="A6" s="617"/>
      <c r="B6" s="621">
        <v>0.21</v>
      </c>
      <c r="C6" s="621">
        <f>B6*1000</f>
        <v>210</v>
      </c>
      <c r="D6" s="619"/>
      <c r="E6" s="619"/>
      <c r="F6" s="619"/>
      <c r="G6" s="618"/>
      <c r="H6" s="618"/>
      <c r="I6" s="618"/>
      <c r="J6" s="618"/>
      <c r="K6" s="618"/>
      <c r="L6" s="618"/>
      <c r="M6" s="618"/>
      <c r="N6" s="618"/>
      <c r="O6" s="618"/>
      <c r="P6" s="618"/>
      <c r="Q6" s="618"/>
      <c r="R6" s="618"/>
      <c r="S6" s="618"/>
      <c r="T6" s="618"/>
      <c r="U6" s="618"/>
      <c r="V6" s="618"/>
      <c r="W6" s="618"/>
      <c r="X6" s="618"/>
      <c r="Y6" s="618"/>
      <c r="Z6" s="618"/>
    </row>
    <row r="7" spans="1:26" ht="15.75" customHeight="1">
      <c r="A7" s="617"/>
      <c r="B7" s="619"/>
      <c r="C7" s="619"/>
      <c r="D7" s="619"/>
      <c r="E7" s="619"/>
      <c r="F7" s="619"/>
      <c r="G7" s="618"/>
      <c r="H7" s="618"/>
      <c r="I7" s="618"/>
      <c r="J7" s="618"/>
      <c r="K7" s="618"/>
      <c r="L7" s="618"/>
      <c r="M7" s="618"/>
      <c r="N7" s="618"/>
      <c r="O7" s="618"/>
      <c r="P7" s="618"/>
      <c r="Q7" s="618"/>
      <c r="R7" s="618"/>
      <c r="S7" s="618"/>
      <c r="T7" s="618"/>
      <c r="U7" s="618"/>
      <c r="V7" s="618"/>
      <c r="W7" s="618"/>
      <c r="X7" s="618"/>
      <c r="Y7" s="618"/>
      <c r="Z7" s="618"/>
    </row>
    <row r="8" spans="1:26" ht="15.75" customHeight="1">
      <c r="A8" s="617"/>
      <c r="B8" s="619"/>
      <c r="C8" s="619"/>
      <c r="D8" s="619"/>
      <c r="E8" s="619"/>
      <c r="F8" s="619"/>
      <c r="G8" s="618"/>
      <c r="H8" s="618"/>
      <c r="I8" s="618"/>
      <c r="J8" s="618"/>
      <c r="K8" s="618"/>
      <c r="L8" s="618"/>
      <c r="M8" s="618"/>
      <c r="N8" s="618"/>
      <c r="O8" s="618"/>
      <c r="P8" s="618"/>
      <c r="Q8" s="618"/>
      <c r="R8" s="618"/>
      <c r="S8" s="618"/>
      <c r="T8" s="618"/>
      <c r="U8" s="618"/>
      <c r="V8" s="618"/>
      <c r="W8" s="618"/>
      <c r="X8" s="618"/>
      <c r="Y8" s="618"/>
      <c r="Z8" s="618"/>
    </row>
    <row r="9" spans="1:26" ht="15.75" customHeight="1">
      <c r="A9" s="617"/>
      <c r="B9" s="619"/>
      <c r="C9" s="619"/>
      <c r="D9" s="619"/>
      <c r="E9" s="619"/>
      <c r="F9" s="619"/>
      <c r="G9" s="618"/>
      <c r="H9" s="618"/>
      <c r="I9" s="618"/>
      <c r="J9" s="618"/>
      <c r="K9" s="618"/>
      <c r="L9" s="618"/>
      <c r="M9" s="618"/>
      <c r="N9" s="618"/>
      <c r="O9" s="618"/>
      <c r="P9" s="618"/>
      <c r="Q9" s="618"/>
      <c r="R9" s="618"/>
      <c r="S9" s="618"/>
      <c r="T9" s="618"/>
      <c r="U9" s="618"/>
      <c r="V9" s="618"/>
      <c r="W9" s="618"/>
      <c r="X9" s="618"/>
      <c r="Y9" s="618"/>
      <c r="Z9" s="618"/>
    </row>
    <row r="10" spans="1:26" ht="15.75" customHeight="1">
      <c r="A10" s="617" t="s">
        <v>569</v>
      </c>
      <c r="B10" s="749" t="s">
        <v>570</v>
      </c>
      <c r="C10" s="750"/>
      <c r="D10" s="750"/>
      <c r="E10" s="750"/>
      <c r="F10" s="751"/>
      <c r="G10" s="618"/>
      <c r="H10" s="618"/>
      <c r="I10" s="618"/>
      <c r="J10" s="618"/>
      <c r="K10" s="618"/>
      <c r="L10" s="618"/>
      <c r="M10" s="618"/>
      <c r="N10" s="618"/>
      <c r="O10" s="618"/>
      <c r="P10" s="618"/>
      <c r="Q10" s="618"/>
      <c r="R10" s="618"/>
      <c r="S10" s="618"/>
      <c r="T10" s="618"/>
      <c r="U10" s="618"/>
      <c r="V10" s="618"/>
      <c r="W10" s="618"/>
      <c r="X10" s="618"/>
      <c r="Y10" s="618"/>
      <c r="Z10" s="618"/>
    </row>
    <row r="11" spans="1:26" ht="15.75" customHeight="1">
      <c r="A11" s="617"/>
      <c r="B11" s="622"/>
      <c r="C11" s="623" t="s">
        <v>571</v>
      </c>
      <c r="D11" s="624" t="s">
        <v>572</v>
      </c>
      <c r="E11" s="623" t="s">
        <v>573</v>
      </c>
      <c r="F11" s="623" t="s">
        <v>574</v>
      </c>
      <c r="G11" s="618"/>
      <c r="H11" s="618"/>
      <c r="I11" s="618"/>
      <c r="J11" s="618"/>
      <c r="K11" s="618"/>
      <c r="L11" s="618"/>
      <c r="M11" s="618"/>
      <c r="N11" s="618"/>
      <c r="O11" s="618"/>
      <c r="P11" s="618"/>
      <c r="Q11" s="618"/>
      <c r="R11" s="618"/>
      <c r="S11" s="618"/>
      <c r="T11" s="618"/>
      <c r="U11" s="618"/>
      <c r="V11" s="618"/>
      <c r="W11" s="618"/>
      <c r="X11" s="618"/>
      <c r="Y11" s="618"/>
      <c r="Z11" s="618"/>
    </row>
    <row r="12" spans="1:26" ht="27.75" customHeight="1">
      <c r="A12" s="617"/>
      <c r="B12" s="625"/>
      <c r="C12" s="626"/>
      <c r="D12" s="627"/>
      <c r="E12" s="628"/>
      <c r="F12" s="628"/>
      <c r="G12" s="618"/>
      <c r="H12" s="618"/>
      <c r="I12" s="618"/>
      <c r="J12" s="618"/>
      <c r="K12" s="618"/>
      <c r="L12" s="618"/>
      <c r="M12" s="618"/>
      <c r="N12" s="618"/>
      <c r="O12" s="618"/>
      <c r="P12" s="618"/>
      <c r="Q12" s="618"/>
      <c r="R12" s="618"/>
      <c r="S12" s="618"/>
      <c r="T12" s="618"/>
      <c r="U12" s="618"/>
      <c r="V12" s="618"/>
      <c r="W12" s="618"/>
      <c r="X12" s="618"/>
      <c r="Y12" s="618"/>
      <c r="Z12" s="618"/>
    </row>
    <row r="13" spans="1:26" ht="15.75" customHeight="1">
      <c r="A13" s="617"/>
      <c r="B13" s="622" t="s">
        <v>575</v>
      </c>
      <c r="C13" s="629">
        <v>1069</v>
      </c>
      <c r="D13" s="752">
        <f>'Solid waste emissions'!BA3</f>
        <v>8266925</v>
      </c>
      <c r="E13" s="755">
        <f>C15/D13</f>
        <v>2.1192886109405856E-4</v>
      </c>
      <c r="F13" s="756">
        <f>E13*10^6</f>
        <v>211.92886109405856</v>
      </c>
      <c r="G13" s="618"/>
      <c r="H13" s="618"/>
      <c r="I13" s="618"/>
      <c r="J13" s="618"/>
      <c r="K13" s="618"/>
      <c r="L13" s="618"/>
      <c r="M13" s="618"/>
      <c r="N13" s="618"/>
      <c r="O13" s="618"/>
      <c r="P13" s="618"/>
      <c r="Q13" s="618"/>
      <c r="R13" s="618"/>
      <c r="S13" s="618"/>
      <c r="T13" s="618"/>
      <c r="U13" s="618"/>
      <c r="V13" s="618"/>
      <c r="W13" s="618"/>
      <c r="X13" s="618"/>
      <c r="Y13" s="618"/>
      <c r="Z13" s="618"/>
    </row>
    <row r="14" spans="1:26" ht="15.75" customHeight="1">
      <c r="A14" s="617"/>
      <c r="B14" s="622" t="s">
        <v>576</v>
      </c>
      <c r="C14" s="629">
        <v>683</v>
      </c>
      <c r="D14" s="753"/>
      <c r="E14" s="753"/>
      <c r="F14" s="753"/>
      <c r="G14" s="618"/>
      <c r="H14" s="618"/>
      <c r="I14" s="618"/>
      <c r="J14" s="618"/>
      <c r="K14" s="618"/>
      <c r="L14" s="618"/>
      <c r="M14" s="618"/>
      <c r="N14" s="618"/>
      <c r="O14" s="618"/>
      <c r="P14" s="618"/>
      <c r="Q14" s="618"/>
      <c r="R14" s="618"/>
      <c r="S14" s="618"/>
      <c r="T14" s="618"/>
      <c r="U14" s="618"/>
      <c r="V14" s="618"/>
      <c r="W14" s="618"/>
      <c r="X14" s="618"/>
      <c r="Y14" s="618"/>
      <c r="Z14" s="618"/>
    </row>
    <row r="15" spans="1:26" ht="15.75" customHeight="1">
      <c r="A15" s="617"/>
      <c r="B15" s="625"/>
      <c r="C15" s="630">
        <f>SUM(C13:C14)</f>
        <v>1752</v>
      </c>
      <c r="D15" s="754"/>
      <c r="E15" s="754"/>
      <c r="F15" s="754"/>
      <c r="G15" s="618"/>
      <c r="H15" s="618"/>
      <c r="I15" s="618"/>
      <c r="J15" s="618"/>
      <c r="K15" s="618"/>
      <c r="L15" s="618"/>
      <c r="M15" s="618"/>
      <c r="N15" s="618"/>
      <c r="O15" s="618"/>
      <c r="P15" s="618"/>
      <c r="Q15" s="618"/>
      <c r="R15" s="618"/>
      <c r="S15" s="618"/>
      <c r="T15" s="618"/>
      <c r="U15" s="618"/>
      <c r="V15" s="618"/>
      <c r="W15" s="618"/>
      <c r="X15" s="618"/>
      <c r="Y15" s="618"/>
      <c r="Z15" s="618"/>
    </row>
    <row r="16" spans="1:26" ht="15.75" customHeight="1">
      <c r="A16" s="617"/>
      <c r="B16" s="618"/>
      <c r="C16" s="618"/>
      <c r="D16" s="618"/>
      <c r="E16" s="618"/>
      <c r="F16" s="618"/>
      <c r="G16" s="618"/>
      <c r="H16" s="618"/>
      <c r="I16" s="618"/>
      <c r="J16" s="618"/>
      <c r="K16" s="618"/>
      <c r="L16" s="618"/>
      <c r="M16" s="618"/>
      <c r="N16" s="618"/>
      <c r="O16" s="618"/>
      <c r="P16" s="618"/>
      <c r="Q16" s="618"/>
      <c r="R16" s="618"/>
      <c r="S16" s="618"/>
      <c r="T16" s="618"/>
      <c r="U16" s="618"/>
      <c r="V16" s="618"/>
      <c r="W16" s="618"/>
      <c r="X16" s="618"/>
      <c r="Y16" s="618"/>
      <c r="Z16" s="618"/>
    </row>
    <row r="17" spans="1:26" ht="15.75" customHeight="1">
      <c r="A17" s="617"/>
      <c r="B17" s="631"/>
      <c r="C17" s="631"/>
      <c r="D17" s="631"/>
      <c r="E17" s="631"/>
      <c r="F17" s="631"/>
      <c r="G17" s="618"/>
      <c r="H17" s="618"/>
      <c r="I17" s="618"/>
      <c r="J17" s="618"/>
      <c r="K17" s="618"/>
      <c r="L17" s="618"/>
      <c r="M17" s="618"/>
      <c r="N17" s="618"/>
      <c r="O17" s="618"/>
      <c r="P17" s="618"/>
      <c r="Q17" s="618"/>
      <c r="R17" s="618"/>
      <c r="S17" s="618"/>
      <c r="T17" s="618"/>
      <c r="U17" s="618"/>
      <c r="V17" s="618"/>
      <c r="W17" s="618"/>
      <c r="X17" s="618"/>
      <c r="Y17" s="618"/>
      <c r="Z17" s="618"/>
    </row>
    <row r="18" spans="1:26" ht="15.75" customHeight="1">
      <c r="A18" s="617" t="s">
        <v>577</v>
      </c>
      <c r="B18" s="749" t="s">
        <v>578</v>
      </c>
      <c r="C18" s="750"/>
      <c r="D18" s="750"/>
      <c r="E18" s="750"/>
      <c r="F18" s="751"/>
      <c r="G18" s="618"/>
      <c r="H18" s="618"/>
      <c r="I18" s="618"/>
      <c r="J18" s="618"/>
      <c r="K18" s="618"/>
      <c r="L18" s="618"/>
      <c r="M18" s="618"/>
      <c r="N18" s="618"/>
      <c r="O18" s="618"/>
      <c r="P18" s="618"/>
      <c r="Q18" s="618"/>
      <c r="R18" s="618"/>
      <c r="S18" s="618"/>
      <c r="T18" s="618"/>
      <c r="U18" s="618"/>
      <c r="V18" s="618"/>
      <c r="W18" s="618"/>
      <c r="X18" s="618"/>
      <c r="Y18" s="618"/>
      <c r="Z18" s="618"/>
    </row>
    <row r="19" spans="1:26" ht="15.75" customHeight="1">
      <c r="A19" s="617"/>
      <c r="B19" s="622"/>
      <c r="C19" s="623" t="s">
        <v>571</v>
      </c>
      <c r="D19" s="624" t="s">
        <v>579</v>
      </c>
      <c r="E19" s="623" t="s">
        <v>573</v>
      </c>
      <c r="F19" s="623" t="s">
        <v>574</v>
      </c>
      <c r="G19" s="618"/>
      <c r="H19" s="618"/>
      <c r="I19" s="618"/>
      <c r="J19" s="618"/>
      <c r="K19" s="618"/>
      <c r="L19" s="618"/>
      <c r="M19" s="618"/>
      <c r="N19" s="618"/>
      <c r="O19" s="618"/>
      <c r="P19" s="618"/>
      <c r="Q19" s="618"/>
      <c r="R19" s="618"/>
      <c r="S19" s="618"/>
      <c r="T19" s="618"/>
      <c r="U19" s="618"/>
      <c r="V19" s="618"/>
      <c r="W19" s="618"/>
      <c r="X19" s="618"/>
      <c r="Y19" s="618"/>
      <c r="Z19" s="618"/>
    </row>
    <row r="20" spans="1:26" ht="29.25" customHeight="1">
      <c r="A20" s="617"/>
      <c r="B20" s="625"/>
      <c r="C20" s="626"/>
      <c r="D20" s="627"/>
      <c r="E20" s="628"/>
      <c r="F20" s="628"/>
      <c r="G20" s="618"/>
      <c r="H20" s="618"/>
      <c r="I20" s="618"/>
      <c r="J20" s="618"/>
      <c r="K20" s="618"/>
      <c r="L20" s="618"/>
      <c r="M20" s="618"/>
      <c r="N20" s="618"/>
      <c r="O20" s="618"/>
      <c r="P20" s="618"/>
      <c r="Q20" s="618"/>
      <c r="R20" s="618"/>
      <c r="S20" s="618"/>
      <c r="T20" s="618"/>
      <c r="U20" s="618"/>
      <c r="V20" s="618"/>
      <c r="W20" s="618"/>
      <c r="X20" s="618"/>
      <c r="Y20" s="618"/>
      <c r="Z20" s="618"/>
    </row>
    <row r="21" spans="1:26" ht="15.75" customHeight="1">
      <c r="A21" s="617"/>
      <c r="B21" s="622" t="s">
        <v>575</v>
      </c>
      <c r="C21" s="629">
        <v>1183</v>
      </c>
      <c r="D21" s="757">
        <f>'Solid waste emissions'!BF3</f>
        <v>8565000</v>
      </c>
      <c r="E21" s="755">
        <f>C23/D21</f>
        <v>2.266199649737303E-4</v>
      </c>
      <c r="F21" s="756">
        <f>E21*10^6</f>
        <v>226.6199649737303</v>
      </c>
      <c r="G21" s="618"/>
      <c r="H21" s="618"/>
      <c r="I21" s="618"/>
      <c r="J21" s="618"/>
      <c r="K21" s="618"/>
      <c r="L21" s="618"/>
      <c r="M21" s="618"/>
      <c r="N21" s="618"/>
      <c r="O21" s="618"/>
      <c r="P21" s="618"/>
      <c r="Q21" s="618"/>
      <c r="R21" s="618"/>
      <c r="S21" s="618"/>
      <c r="T21" s="618"/>
      <c r="U21" s="618"/>
      <c r="V21" s="618"/>
      <c r="W21" s="618"/>
      <c r="X21" s="618"/>
      <c r="Y21" s="618"/>
      <c r="Z21" s="618"/>
    </row>
    <row r="22" spans="1:26" ht="15.75" customHeight="1">
      <c r="A22" s="617"/>
      <c r="B22" s="622" t="s">
        <v>576</v>
      </c>
      <c r="C22" s="629">
        <v>758</v>
      </c>
      <c r="D22" s="753"/>
      <c r="E22" s="753"/>
      <c r="F22" s="753"/>
      <c r="G22" s="618"/>
      <c r="H22" s="618"/>
      <c r="I22" s="618"/>
      <c r="J22" s="618"/>
      <c r="K22" s="618"/>
      <c r="L22" s="618"/>
      <c r="M22" s="618"/>
      <c r="N22" s="618"/>
      <c r="O22" s="618"/>
      <c r="P22" s="618"/>
      <c r="Q22" s="618"/>
      <c r="R22" s="618"/>
      <c r="S22" s="618"/>
      <c r="T22" s="618"/>
      <c r="U22" s="618"/>
      <c r="V22" s="618"/>
      <c r="W22" s="618"/>
      <c r="X22" s="618"/>
      <c r="Y22" s="618"/>
      <c r="Z22" s="618"/>
    </row>
    <row r="23" spans="1:26" ht="15.75" customHeight="1">
      <c r="A23" s="617"/>
      <c r="B23" s="625"/>
      <c r="C23" s="630">
        <f>SUM(C21:C22)</f>
        <v>1941</v>
      </c>
      <c r="D23" s="754"/>
      <c r="E23" s="754"/>
      <c r="F23" s="754"/>
      <c r="G23" s="618"/>
      <c r="H23" s="618"/>
      <c r="I23" s="618"/>
      <c r="J23" s="618"/>
      <c r="K23" s="618"/>
      <c r="L23" s="618"/>
      <c r="M23" s="618"/>
      <c r="N23" s="618"/>
      <c r="O23" s="618"/>
      <c r="P23" s="618"/>
      <c r="Q23" s="618"/>
      <c r="R23" s="618"/>
      <c r="S23" s="618"/>
      <c r="T23" s="618"/>
      <c r="U23" s="618"/>
      <c r="V23" s="618"/>
      <c r="W23" s="618"/>
      <c r="X23" s="618"/>
      <c r="Y23" s="618"/>
      <c r="Z23" s="618"/>
    </row>
    <row r="24" spans="1:26" ht="15.75" customHeight="1">
      <c r="A24" s="617"/>
      <c r="B24" s="618"/>
      <c r="C24" s="618"/>
      <c r="D24" s="618"/>
      <c r="E24" s="618"/>
      <c r="F24" s="618"/>
      <c r="G24" s="618"/>
      <c r="H24" s="618"/>
      <c r="I24" s="618"/>
      <c r="J24" s="618"/>
      <c r="K24" s="618"/>
      <c r="L24" s="618"/>
      <c r="M24" s="618"/>
      <c r="N24" s="618"/>
      <c r="O24" s="618"/>
      <c r="P24" s="618"/>
      <c r="Q24" s="618"/>
      <c r="R24" s="618"/>
      <c r="S24" s="618"/>
      <c r="T24" s="618"/>
      <c r="U24" s="618"/>
      <c r="V24" s="618"/>
      <c r="W24" s="618"/>
      <c r="X24" s="618"/>
      <c r="Y24" s="618"/>
      <c r="Z24" s="618"/>
    </row>
    <row r="25" spans="1:26" ht="15.75" customHeight="1">
      <c r="A25" s="617"/>
      <c r="B25" s="618"/>
      <c r="C25" s="618"/>
      <c r="D25" s="618"/>
      <c r="E25" s="618"/>
      <c r="F25" s="618"/>
      <c r="G25" s="618"/>
      <c r="H25" s="618"/>
      <c r="I25" s="618"/>
      <c r="J25" s="618"/>
      <c r="K25" s="618"/>
      <c r="L25" s="618"/>
      <c r="M25" s="618"/>
      <c r="N25" s="618"/>
      <c r="O25" s="618"/>
      <c r="P25" s="618"/>
      <c r="Q25" s="618"/>
      <c r="R25" s="618"/>
      <c r="S25" s="618"/>
      <c r="T25" s="618"/>
      <c r="U25" s="618"/>
      <c r="V25" s="618"/>
      <c r="W25" s="618"/>
      <c r="X25" s="618"/>
      <c r="Y25" s="618"/>
      <c r="Z25" s="618"/>
    </row>
    <row r="26" spans="1:26" ht="15.75" customHeight="1">
      <c r="A26" s="617"/>
      <c r="B26" s="618"/>
      <c r="C26" s="618"/>
      <c r="D26" s="618"/>
      <c r="E26" s="618"/>
      <c r="F26" s="618"/>
      <c r="G26" s="618"/>
      <c r="H26" s="618"/>
      <c r="I26" s="618"/>
      <c r="J26" s="618"/>
      <c r="K26" s="618"/>
      <c r="L26" s="618"/>
      <c r="M26" s="618"/>
      <c r="N26" s="618"/>
      <c r="O26" s="618"/>
      <c r="P26" s="618"/>
      <c r="Q26" s="618"/>
      <c r="R26" s="618"/>
      <c r="S26" s="618"/>
      <c r="T26" s="618"/>
      <c r="U26" s="618"/>
      <c r="V26" s="618"/>
      <c r="W26" s="618"/>
      <c r="X26" s="618"/>
      <c r="Y26" s="618"/>
      <c r="Z26" s="618"/>
    </row>
    <row r="27" spans="1:26" ht="15.75" customHeight="1">
      <c r="A27" s="617" t="s">
        <v>580</v>
      </c>
      <c r="B27" s="749" t="s">
        <v>581</v>
      </c>
      <c r="C27" s="750"/>
      <c r="D27" s="750"/>
      <c r="E27" s="750"/>
      <c r="F27" s="751"/>
      <c r="G27" s="618"/>
      <c r="H27" s="618"/>
      <c r="I27" s="618"/>
      <c r="J27" s="618"/>
      <c r="K27" s="618"/>
      <c r="L27" s="618"/>
      <c r="M27" s="618"/>
      <c r="N27" s="618"/>
      <c r="O27" s="618"/>
      <c r="P27" s="618"/>
      <c r="Q27" s="618"/>
      <c r="R27" s="618"/>
      <c r="S27" s="618"/>
      <c r="T27" s="618"/>
      <c r="U27" s="618"/>
      <c r="V27" s="618"/>
      <c r="W27" s="618"/>
      <c r="X27" s="618"/>
      <c r="Y27" s="618"/>
      <c r="Z27" s="618"/>
    </row>
    <row r="28" spans="1:26" ht="15.75" customHeight="1">
      <c r="A28" s="617"/>
      <c r="B28" s="632" t="s">
        <v>582</v>
      </c>
      <c r="C28" s="633" t="s">
        <v>583</v>
      </c>
      <c r="D28" s="634" t="s">
        <v>584</v>
      </c>
      <c r="E28" s="633" t="s">
        <v>585</v>
      </c>
      <c r="F28" s="633" t="s">
        <v>586</v>
      </c>
      <c r="G28" s="618"/>
      <c r="H28" s="618"/>
      <c r="I28" s="618"/>
      <c r="J28" s="618"/>
      <c r="K28" s="618"/>
      <c r="L28" s="618"/>
      <c r="M28" s="618"/>
      <c r="N28" s="618"/>
      <c r="O28" s="618"/>
      <c r="P28" s="618"/>
      <c r="Q28" s="618"/>
      <c r="R28" s="618"/>
      <c r="S28" s="618"/>
      <c r="T28" s="618"/>
      <c r="U28" s="618"/>
      <c r="V28" s="618"/>
      <c r="W28" s="618"/>
      <c r="X28" s="618"/>
      <c r="Y28" s="618"/>
      <c r="Z28" s="618"/>
    </row>
    <row r="29" spans="1:26" ht="15.75" customHeight="1">
      <c r="A29" s="617"/>
      <c r="B29" s="635" t="s">
        <v>587</v>
      </c>
      <c r="C29" s="636">
        <v>4162180</v>
      </c>
      <c r="D29" s="636">
        <v>2115</v>
      </c>
      <c r="E29" s="637">
        <f t="shared" ref="E29:E31" si="0">D29/C29</f>
        <v>5.0814717287575258E-4</v>
      </c>
      <c r="F29" s="638">
        <f t="shared" ref="F29:F31" si="1">E29*10^6</f>
        <v>508.14717287575257</v>
      </c>
      <c r="G29" s="618"/>
      <c r="H29" s="618"/>
      <c r="I29" s="618"/>
      <c r="J29" s="618"/>
      <c r="K29" s="618"/>
      <c r="L29" s="618"/>
      <c r="M29" s="618"/>
      <c r="N29" s="618"/>
      <c r="O29" s="618"/>
      <c r="P29" s="618"/>
      <c r="Q29" s="618"/>
      <c r="R29" s="618"/>
      <c r="S29" s="618"/>
      <c r="T29" s="618"/>
      <c r="U29" s="618"/>
      <c r="V29" s="618"/>
      <c r="W29" s="618"/>
      <c r="X29" s="618"/>
      <c r="Y29" s="618"/>
      <c r="Z29" s="618"/>
    </row>
    <row r="30" spans="1:26" ht="15.75" customHeight="1">
      <c r="A30" s="617"/>
      <c r="B30" s="635" t="s">
        <v>588</v>
      </c>
      <c r="C30" s="636">
        <v>2941234</v>
      </c>
      <c r="D30" s="636">
        <v>1275</v>
      </c>
      <c r="E30" s="637">
        <f t="shared" si="0"/>
        <v>4.334915209058511E-4</v>
      </c>
      <c r="F30" s="638">
        <f t="shared" si="1"/>
        <v>433.49152090585108</v>
      </c>
      <c r="G30" s="618"/>
      <c r="H30" s="618"/>
      <c r="I30" s="618"/>
      <c r="J30" s="618"/>
      <c r="K30" s="618"/>
      <c r="L30" s="618"/>
      <c r="M30" s="618"/>
      <c r="N30" s="618"/>
      <c r="O30" s="618"/>
      <c r="P30" s="618"/>
      <c r="Q30" s="618"/>
      <c r="R30" s="618"/>
      <c r="S30" s="618"/>
      <c r="T30" s="618"/>
      <c r="U30" s="618"/>
      <c r="V30" s="618"/>
      <c r="W30" s="618"/>
      <c r="X30" s="618"/>
      <c r="Y30" s="618"/>
      <c r="Z30" s="618"/>
    </row>
    <row r="31" spans="1:26" ht="15.75" customHeight="1">
      <c r="A31" s="617"/>
      <c r="B31" s="635" t="s">
        <v>589</v>
      </c>
      <c r="C31" s="636">
        <v>872437</v>
      </c>
      <c r="D31" s="636">
        <v>365</v>
      </c>
      <c r="E31" s="637">
        <f t="shared" si="0"/>
        <v>4.1836831771233909E-4</v>
      </c>
      <c r="F31" s="638">
        <f t="shared" si="1"/>
        <v>418.36831771233909</v>
      </c>
      <c r="G31" s="618"/>
      <c r="H31" s="618"/>
      <c r="I31" s="618"/>
      <c r="J31" s="618"/>
      <c r="K31" s="618"/>
      <c r="L31" s="618"/>
      <c r="M31" s="618"/>
      <c r="N31" s="618"/>
      <c r="O31" s="618"/>
      <c r="P31" s="618"/>
      <c r="Q31" s="618"/>
      <c r="R31" s="618"/>
      <c r="S31" s="618"/>
      <c r="T31" s="618"/>
      <c r="U31" s="618"/>
      <c r="V31" s="618"/>
      <c r="W31" s="618"/>
      <c r="X31" s="618"/>
      <c r="Y31" s="618"/>
      <c r="Z31" s="618"/>
    </row>
    <row r="32" spans="1:26" ht="15.75" customHeight="1">
      <c r="A32" s="617"/>
      <c r="B32" s="639"/>
      <c r="C32" s="640"/>
      <c r="D32" s="640"/>
      <c r="E32" s="640"/>
      <c r="F32" s="641"/>
      <c r="G32" s="618"/>
      <c r="H32" s="618"/>
      <c r="I32" s="618"/>
      <c r="J32" s="618"/>
      <c r="K32" s="618"/>
      <c r="L32" s="618"/>
      <c r="M32" s="618"/>
      <c r="N32" s="618"/>
      <c r="O32" s="618"/>
      <c r="P32" s="618"/>
      <c r="Q32" s="618"/>
      <c r="R32" s="618"/>
      <c r="S32" s="618"/>
      <c r="T32" s="618"/>
      <c r="U32" s="618"/>
      <c r="V32" s="618"/>
      <c r="W32" s="618"/>
      <c r="X32" s="618"/>
      <c r="Y32" s="618"/>
      <c r="Z32" s="618"/>
    </row>
    <row r="33" spans="1:26" ht="15.75" customHeight="1">
      <c r="A33" s="617"/>
      <c r="B33" s="758" t="s">
        <v>590</v>
      </c>
      <c r="C33" s="759"/>
      <c r="D33" s="759"/>
      <c r="E33" s="754"/>
      <c r="F33" s="642">
        <f>AVERAGE(F29:F31)</f>
        <v>453.33567049798097</v>
      </c>
      <c r="G33" s="618"/>
      <c r="H33" s="618"/>
      <c r="I33" s="618"/>
      <c r="J33" s="618"/>
      <c r="K33" s="618"/>
      <c r="L33" s="618"/>
      <c r="M33" s="618"/>
      <c r="N33" s="618"/>
      <c r="O33" s="618"/>
      <c r="P33" s="618"/>
      <c r="Q33" s="618"/>
      <c r="R33" s="618"/>
      <c r="S33" s="618"/>
      <c r="T33" s="618"/>
      <c r="U33" s="618"/>
      <c r="V33" s="618"/>
      <c r="W33" s="618"/>
      <c r="X33" s="618"/>
      <c r="Y33" s="618"/>
      <c r="Z33" s="618"/>
    </row>
    <row r="34" spans="1:26" ht="15.75" customHeight="1">
      <c r="A34" s="617"/>
      <c r="B34" s="618"/>
      <c r="C34" s="618"/>
      <c r="D34" s="618"/>
      <c r="E34" s="618"/>
      <c r="F34" s="618"/>
      <c r="G34" s="618"/>
      <c r="H34" s="618"/>
      <c r="I34" s="618"/>
      <c r="J34" s="618"/>
      <c r="K34" s="618"/>
      <c r="L34" s="618"/>
      <c r="M34" s="618"/>
      <c r="N34" s="618"/>
      <c r="O34" s="618"/>
      <c r="P34" s="618"/>
      <c r="Q34" s="618"/>
      <c r="R34" s="618"/>
      <c r="S34" s="618"/>
      <c r="T34" s="618"/>
      <c r="U34" s="618"/>
      <c r="V34" s="618"/>
      <c r="W34" s="618"/>
      <c r="X34" s="618"/>
      <c r="Y34" s="618"/>
      <c r="Z34" s="618"/>
    </row>
    <row r="35" spans="1:26" ht="15.75" customHeight="1">
      <c r="A35" s="617"/>
      <c r="B35" s="618"/>
      <c r="C35" s="618"/>
      <c r="D35" s="618"/>
      <c r="E35" s="618"/>
      <c r="F35" s="618"/>
      <c r="G35" s="618"/>
      <c r="H35" s="618"/>
      <c r="I35" s="618"/>
      <c r="J35" s="618"/>
      <c r="K35" s="618"/>
      <c r="L35" s="618"/>
      <c r="M35" s="618"/>
      <c r="N35" s="618"/>
      <c r="O35" s="618"/>
      <c r="P35" s="618"/>
      <c r="Q35" s="618"/>
      <c r="R35" s="618"/>
      <c r="S35" s="618"/>
      <c r="T35" s="618"/>
      <c r="U35" s="618"/>
      <c r="V35" s="618"/>
      <c r="W35" s="618"/>
      <c r="X35" s="618"/>
      <c r="Y35" s="618"/>
      <c r="Z35" s="618"/>
    </row>
    <row r="36" spans="1:26" ht="15.75" customHeight="1">
      <c r="A36" s="617"/>
      <c r="B36" s="618"/>
      <c r="C36" s="618"/>
      <c r="D36" s="618"/>
      <c r="E36" s="618"/>
      <c r="F36" s="618"/>
      <c r="G36" s="618"/>
      <c r="H36" s="618"/>
      <c r="I36" s="618"/>
      <c r="J36" s="618"/>
      <c r="K36" s="618"/>
      <c r="L36" s="618"/>
      <c r="M36" s="618"/>
      <c r="N36" s="618"/>
      <c r="O36" s="618"/>
      <c r="P36" s="618"/>
      <c r="Q36" s="618"/>
      <c r="R36" s="618"/>
      <c r="S36" s="618"/>
      <c r="T36" s="618"/>
      <c r="U36" s="618"/>
      <c r="V36" s="618"/>
      <c r="W36" s="618"/>
      <c r="X36" s="618"/>
      <c r="Y36" s="618"/>
      <c r="Z36" s="618"/>
    </row>
    <row r="37" spans="1:26" ht="15.75" customHeight="1">
      <c r="A37" s="617"/>
      <c r="B37" s="618"/>
      <c r="C37" s="618"/>
      <c r="D37" s="618"/>
      <c r="E37" s="618"/>
      <c r="F37" s="618"/>
      <c r="G37" s="618"/>
      <c r="H37" s="618"/>
      <c r="I37" s="618"/>
      <c r="J37" s="618"/>
      <c r="K37" s="618"/>
      <c r="L37" s="618"/>
      <c r="M37" s="618"/>
      <c r="N37" s="618"/>
      <c r="O37" s="618"/>
      <c r="P37" s="618"/>
      <c r="Q37" s="618"/>
      <c r="R37" s="618"/>
      <c r="S37" s="618"/>
      <c r="T37" s="618"/>
      <c r="U37" s="618"/>
      <c r="V37" s="618"/>
      <c r="W37" s="618"/>
      <c r="X37" s="618"/>
      <c r="Y37" s="618"/>
      <c r="Z37" s="618"/>
    </row>
    <row r="38" spans="1:26" ht="15.75" customHeight="1">
      <c r="A38" s="617"/>
      <c r="B38" s="618"/>
      <c r="C38" s="618"/>
      <c r="D38" s="618"/>
      <c r="E38" s="618"/>
      <c r="F38" s="618"/>
      <c r="G38" s="618"/>
      <c r="H38" s="618"/>
      <c r="I38" s="618"/>
      <c r="J38" s="618"/>
      <c r="K38" s="618"/>
      <c r="L38" s="618"/>
      <c r="M38" s="618"/>
      <c r="N38" s="618"/>
      <c r="O38" s="618"/>
      <c r="P38" s="618"/>
      <c r="Q38" s="618"/>
      <c r="R38" s="618"/>
      <c r="S38" s="618"/>
      <c r="T38" s="618"/>
      <c r="U38" s="618"/>
      <c r="V38" s="618"/>
      <c r="W38" s="618"/>
      <c r="X38" s="618"/>
      <c r="Y38" s="618"/>
      <c r="Z38" s="618"/>
    </row>
    <row r="39" spans="1:26" ht="15.75" customHeight="1">
      <c r="A39" s="617"/>
      <c r="B39" s="618"/>
      <c r="C39" s="618"/>
      <c r="D39" s="618"/>
      <c r="E39" s="618"/>
      <c r="F39" s="618"/>
      <c r="G39" s="618"/>
      <c r="H39" s="618"/>
      <c r="I39" s="618"/>
      <c r="J39" s="618"/>
      <c r="K39" s="618"/>
      <c r="L39" s="618"/>
      <c r="M39" s="618"/>
      <c r="N39" s="618"/>
      <c r="O39" s="618"/>
      <c r="P39" s="618"/>
      <c r="Q39" s="618"/>
      <c r="R39" s="618"/>
      <c r="S39" s="618"/>
      <c r="T39" s="618"/>
      <c r="U39" s="618"/>
      <c r="V39" s="618"/>
      <c r="W39" s="618"/>
      <c r="X39" s="618"/>
      <c r="Y39" s="618"/>
      <c r="Z39" s="618"/>
    </row>
    <row r="40" spans="1:26" ht="15.75" customHeight="1">
      <c r="A40" s="617"/>
      <c r="B40" s="618"/>
      <c r="C40" s="618"/>
      <c r="D40" s="618"/>
      <c r="E40" s="618"/>
      <c r="F40" s="618"/>
      <c r="G40" s="618"/>
      <c r="H40" s="618"/>
      <c r="I40" s="618"/>
      <c r="J40" s="618"/>
      <c r="K40" s="618"/>
      <c r="L40" s="618"/>
      <c r="M40" s="618"/>
      <c r="N40" s="618"/>
      <c r="O40" s="618"/>
      <c r="P40" s="618"/>
      <c r="Q40" s="618"/>
      <c r="R40" s="618"/>
      <c r="S40" s="618"/>
      <c r="T40" s="618"/>
      <c r="U40" s="618"/>
      <c r="V40" s="618"/>
      <c r="W40" s="618"/>
      <c r="X40" s="618"/>
      <c r="Y40" s="618"/>
      <c r="Z40" s="618"/>
    </row>
    <row r="41" spans="1:26" ht="15.75" customHeight="1">
      <c r="A41" s="617"/>
      <c r="B41" s="618"/>
      <c r="C41" s="618"/>
      <c r="D41" s="618"/>
      <c r="E41" s="618"/>
      <c r="F41" s="618"/>
      <c r="G41" s="618"/>
      <c r="H41" s="618"/>
      <c r="I41" s="618"/>
      <c r="J41" s="618"/>
      <c r="K41" s="618"/>
      <c r="L41" s="618"/>
      <c r="M41" s="618"/>
      <c r="N41" s="618"/>
      <c r="O41" s="618"/>
      <c r="P41" s="618"/>
      <c r="Q41" s="618"/>
      <c r="R41" s="618"/>
      <c r="S41" s="618"/>
      <c r="T41" s="618"/>
      <c r="U41" s="618"/>
      <c r="V41" s="618"/>
      <c r="W41" s="618"/>
      <c r="X41" s="618"/>
      <c r="Y41" s="618"/>
      <c r="Z41" s="618"/>
    </row>
    <row r="42" spans="1:26" ht="15.75" customHeight="1">
      <c r="A42" s="617"/>
      <c r="B42" s="618"/>
      <c r="C42" s="618"/>
      <c r="D42" s="618"/>
      <c r="E42" s="618"/>
      <c r="F42" s="618"/>
      <c r="G42" s="618"/>
      <c r="H42" s="618"/>
      <c r="I42" s="618"/>
      <c r="J42" s="618"/>
      <c r="K42" s="618"/>
      <c r="L42" s="618"/>
      <c r="M42" s="618"/>
      <c r="N42" s="618"/>
      <c r="O42" s="618"/>
      <c r="P42" s="618"/>
      <c r="Q42" s="618"/>
      <c r="R42" s="618"/>
      <c r="S42" s="618"/>
      <c r="T42" s="618"/>
      <c r="U42" s="618"/>
      <c r="V42" s="618"/>
      <c r="W42" s="618"/>
      <c r="X42" s="618"/>
      <c r="Y42" s="618"/>
      <c r="Z42" s="618"/>
    </row>
    <row r="43" spans="1:26" ht="15.75" customHeight="1">
      <c r="A43" s="617"/>
      <c r="B43" s="618"/>
      <c r="C43" s="618"/>
      <c r="D43" s="618"/>
      <c r="E43" s="618"/>
      <c r="F43" s="618"/>
      <c r="G43" s="618"/>
      <c r="H43" s="618"/>
      <c r="I43" s="618"/>
      <c r="J43" s="618"/>
      <c r="K43" s="618"/>
      <c r="L43" s="618"/>
      <c r="M43" s="618"/>
      <c r="N43" s="618"/>
      <c r="O43" s="618"/>
      <c r="P43" s="618"/>
      <c r="Q43" s="618"/>
      <c r="R43" s="618"/>
      <c r="S43" s="618"/>
      <c r="T43" s="618"/>
      <c r="U43" s="618"/>
      <c r="V43" s="618"/>
      <c r="W43" s="618"/>
      <c r="X43" s="618"/>
      <c r="Y43" s="618"/>
      <c r="Z43" s="618"/>
    </row>
    <row r="44" spans="1:26" ht="15.75" customHeight="1">
      <c r="A44" s="617"/>
      <c r="B44" s="618"/>
      <c r="C44" s="618"/>
      <c r="D44" s="618"/>
      <c r="E44" s="618"/>
      <c r="F44" s="618"/>
      <c r="G44" s="618"/>
      <c r="H44" s="618"/>
      <c r="I44" s="618"/>
      <c r="J44" s="618"/>
      <c r="K44" s="618"/>
      <c r="L44" s="618"/>
      <c r="M44" s="618"/>
      <c r="N44" s="618"/>
      <c r="O44" s="618"/>
      <c r="P44" s="618"/>
      <c r="Q44" s="618"/>
      <c r="R44" s="618"/>
      <c r="S44" s="618"/>
      <c r="T44" s="618"/>
      <c r="U44" s="618"/>
      <c r="V44" s="618"/>
      <c r="W44" s="618"/>
      <c r="X44" s="618"/>
      <c r="Y44" s="618"/>
      <c r="Z44" s="618"/>
    </row>
    <row r="45" spans="1:26" ht="15.75" customHeight="1">
      <c r="A45" s="617"/>
      <c r="B45" s="618"/>
      <c r="C45" s="618"/>
      <c r="D45" s="618"/>
      <c r="E45" s="618"/>
      <c r="F45" s="618"/>
      <c r="G45" s="618"/>
      <c r="H45" s="618"/>
      <c r="I45" s="618"/>
      <c r="J45" s="618"/>
      <c r="K45" s="618"/>
      <c r="L45" s="618"/>
      <c r="M45" s="618"/>
      <c r="N45" s="618"/>
      <c r="O45" s="618"/>
      <c r="P45" s="618"/>
      <c r="Q45" s="618"/>
      <c r="R45" s="618"/>
      <c r="S45" s="618"/>
      <c r="T45" s="618"/>
      <c r="U45" s="618"/>
      <c r="V45" s="618"/>
      <c r="W45" s="618"/>
      <c r="X45" s="618"/>
      <c r="Y45" s="618"/>
      <c r="Z45" s="618"/>
    </row>
    <row r="46" spans="1:26" ht="15.75" customHeight="1">
      <c r="A46" s="617"/>
      <c r="B46" s="618"/>
      <c r="C46" s="618"/>
      <c r="D46" s="618"/>
      <c r="E46" s="618"/>
      <c r="F46" s="618"/>
      <c r="G46" s="618"/>
      <c r="H46" s="618"/>
      <c r="I46" s="618"/>
      <c r="J46" s="618"/>
      <c r="K46" s="618"/>
      <c r="L46" s="618"/>
      <c r="M46" s="618"/>
      <c r="N46" s="618"/>
      <c r="O46" s="618"/>
      <c r="P46" s="618"/>
      <c r="Q46" s="618"/>
      <c r="R46" s="618"/>
      <c r="S46" s="618"/>
      <c r="T46" s="618"/>
      <c r="U46" s="618"/>
      <c r="V46" s="618"/>
      <c r="W46" s="618"/>
      <c r="X46" s="618"/>
      <c r="Y46" s="618"/>
      <c r="Z46" s="618"/>
    </row>
    <row r="47" spans="1:26" ht="15.75" customHeight="1">
      <c r="A47" s="617"/>
      <c r="B47" s="618"/>
      <c r="C47" s="618"/>
      <c r="D47" s="618"/>
      <c r="E47" s="618"/>
      <c r="F47" s="618"/>
      <c r="G47" s="618"/>
      <c r="H47" s="618"/>
      <c r="I47" s="618"/>
      <c r="J47" s="618"/>
      <c r="K47" s="618"/>
      <c r="L47" s="618"/>
      <c r="M47" s="618"/>
      <c r="N47" s="618"/>
      <c r="O47" s="618"/>
      <c r="P47" s="618"/>
      <c r="Q47" s="618"/>
      <c r="R47" s="618"/>
      <c r="S47" s="618"/>
      <c r="T47" s="618"/>
      <c r="U47" s="618"/>
      <c r="V47" s="618"/>
      <c r="W47" s="618"/>
      <c r="X47" s="618"/>
      <c r="Y47" s="618"/>
      <c r="Z47" s="618"/>
    </row>
    <row r="48" spans="1:26" ht="15.75" customHeight="1">
      <c r="A48" s="617"/>
      <c r="B48" s="618"/>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row>
    <row r="49" spans="1:26" ht="15.75" customHeight="1">
      <c r="A49" s="617"/>
      <c r="B49" s="618"/>
      <c r="C49" s="618"/>
      <c r="D49" s="618"/>
      <c r="E49" s="618"/>
      <c r="F49" s="618"/>
      <c r="G49" s="618"/>
      <c r="H49" s="618"/>
      <c r="I49" s="618"/>
      <c r="J49" s="618"/>
      <c r="K49" s="618"/>
      <c r="L49" s="618"/>
      <c r="M49" s="618"/>
      <c r="N49" s="618"/>
      <c r="O49" s="618"/>
      <c r="P49" s="618"/>
      <c r="Q49" s="618"/>
      <c r="R49" s="618"/>
      <c r="S49" s="618"/>
      <c r="T49" s="618"/>
      <c r="U49" s="618"/>
      <c r="V49" s="618"/>
      <c r="W49" s="618"/>
      <c r="X49" s="618"/>
      <c r="Y49" s="618"/>
      <c r="Z49" s="618"/>
    </row>
    <row r="50" spans="1:26" ht="15.75" customHeight="1">
      <c r="A50" s="617"/>
      <c r="B50" s="618"/>
      <c r="C50" s="618"/>
      <c r="D50" s="618"/>
      <c r="E50" s="618"/>
      <c r="F50" s="618"/>
      <c r="G50" s="618"/>
      <c r="H50" s="618"/>
      <c r="I50" s="618"/>
      <c r="J50" s="618"/>
      <c r="K50" s="618"/>
      <c r="L50" s="618"/>
      <c r="M50" s="618"/>
      <c r="N50" s="618"/>
      <c r="O50" s="618"/>
      <c r="P50" s="618"/>
      <c r="Q50" s="618"/>
      <c r="R50" s="618"/>
      <c r="S50" s="618"/>
      <c r="T50" s="618"/>
      <c r="U50" s="618"/>
      <c r="V50" s="618"/>
      <c r="W50" s="618"/>
      <c r="X50" s="618"/>
      <c r="Y50" s="618"/>
      <c r="Z50" s="618"/>
    </row>
    <row r="51" spans="1:26" ht="15.75" customHeight="1">
      <c r="A51" s="617"/>
      <c r="B51" s="618"/>
      <c r="C51" s="618"/>
      <c r="D51" s="618"/>
      <c r="E51" s="618"/>
      <c r="F51" s="618"/>
      <c r="G51" s="618"/>
      <c r="H51" s="618"/>
      <c r="I51" s="618"/>
      <c r="J51" s="618"/>
      <c r="K51" s="618"/>
      <c r="L51" s="618"/>
      <c r="M51" s="618"/>
      <c r="N51" s="618"/>
      <c r="O51" s="618"/>
      <c r="P51" s="618"/>
      <c r="Q51" s="618"/>
      <c r="R51" s="618"/>
      <c r="S51" s="618"/>
      <c r="T51" s="618"/>
      <c r="U51" s="618"/>
      <c r="V51" s="618"/>
      <c r="W51" s="618"/>
      <c r="X51" s="618"/>
      <c r="Y51" s="618"/>
      <c r="Z51" s="618"/>
    </row>
    <row r="52" spans="1:26" ht="15.75" customHeight="1">
      <c r="A52" s="617"/>
      <c r="B52" s="618"/>
      <c r="C52" s="618"/>
      <c r="D52" s="618"/>
      <c r="E52" s="618"/>
      <c r="F52" s="618"/>
      <c r="G52" s="618"/>
      <c r="H52" s="618"/>
      <c r="I52" s="618"/>
      <c r="J52" s="618"/>
      <c r="K52" s="618"/>
      <c r="L52" s="618"/>
      <c r="M52" s="618"/>
      <c r="N52" s="618"/>
      <c r="O52" s="618"/>
      <c r="P52" s="618"/>
      <c r="Q52" s="618"/>
      <c r="R52" s="618"/>
      <c r="S52" s="618"/>
      <c r="T52" s="618"/>
      <c r="U52" s="618"/>
      <c r="V52" s="618"/>
      <c r="W52" s="618"/>
      <c r="X52" s="618"/>
      <c r="Y52" s="618"/>
      <c r="Z52" s="618"/>
    </row>
    <row r="53" spans="1:26" ht="15.75" customHeight="1">
      <c r="A53" s="617"/>
      <c r="B53" s="618"/>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row>
    <row r="54" spans="1:26" ht="15.75" customHeight="1">
      <c r="A54" s="617"/>
      <c r="B54" s="618"/>
      <c r="C54" s="618"/>
      <c r="D54" s="618"/>
      <c r="E54" s="618"/>
      <c r="F54" s="618"/>
      <c r="G54" s="618"/>
      <c r="H54" s="618"/>
      <c r="I54" s="618"/>
      <c r="J54" s="618"/>
      <c r="K54" s="618"/>
      <c r="L54" s="618"/>
      <c r="M54" s="618"/>
      <c r="N54" s="618"/>
      <c r="O54" s="618"/>
      <c r="P54" s="618"/>
      <c r="Q54" s="618"/>
      <c r="R54" s="618"/>
      <c r="S54" s="618"/>
      <c r="T54" s="618"/>
      <c r="U54" s="618"/>
      <c r="V54" s="618"/>
      <c r="W54" s="618"/>
      <c r="X54" s="618"/>
      <c r="Y54" s="618"/>
      <c r="Z54" s="618"/>
    </row>
    <row r="55" spans="1:26" ht="15.75" customHeight="1">
      <c r="A55" s="617"/>
      <c r="B55" s="618"/>
      <c r="C55" s="618"/>
      <c r="D55" s="618"/>
      <c r="E55" s="618"/>
      <c r="F55" s="618"/>
      <c r="G55" s="618"/>
      <c r="H55" s="618"/>
      <c r="I55" s="618"/>
      <c r="J55" s="618"/>
      <c r="K55" s="618"/>
      <c r="L55" s="618"/>
      <c r="M55" s="618"/>
      <c r="N55" s="618"/>
      <c r="O55" s="618"/>
      <c r="P55" s="618"/>
      <c r="Q55" s="618"/>
      <c r="R55" s="618"/>
      <c r="S55" s="618"/>
      <c r="T55" s="618"/>
      <c r="U55" s="618"/>
      <c r="V55" s="618"/>
      <c r="W55" s="618"/>
      <c r="X55" s="618"/>
      <c r="Y55" s="618"/>
      <c r="Z55" s="618"/>
    </row>
    <row r="56" spans="1:26" ht="15.75" customHeight="1">
      <c r="A56" s="617"/>
      <c r="B56" s="618"/>
      <c r="C56" s="618"/>
      <c r="D56" s="618"/>
      <c r="E56" s="618"/>
      <c r="F56" s="618"/>
      <c r="G56" s="618"/>
      <c r="H56" s="618"/>
      <c r="I56" s="618"/>
      <c r="J56" s="618"/>
      <c r="K56" s="618"/>
      <c r="L56" s="618"/>
      <c r="M56" s="618"/>
      <c r="N56" s="618"/>
      <c r="O56" s="618"/>
      <c r="P56" s="618"/>
      <c r="Q56" s="618"/>
      <c r="R56" s="618"/>
      <c r="S56" s="618"/>
      <c r="T56" s="618"/>
      <c r="U56" s="618"/>
      <c r="V56" s="618"/>
      <c r="W56" s="618"/>
      <c r="X56" s="618"/>
      <c r="Y56" s="618"/>
      <c r="Z56" s="618"/>
    </row>
    <row r="57" spans="1:26" ht="15.75" customHeight="1">
      <c r="A57" s="617"/>
      <c r="B57" s="618"/>
      <c r="C57" s="618"/>
      <c r="D57" s="618"/>
      <c r="E57" s="618"/>
      <c r="F57" s="618"/>
      <c r="G57" s="618"/>
      <c r="H57" s="618"/>
      <c r="I57" s="618"/>
      <c r="J57" s="618"/>
      <c r="K57" s="618"/>
      <c r="L57" s="618"/>
      <c r="M57" s="618"/>
      <c r="N57" s="618"/>
      <c r="O57" s="618"/>
      <c r="P57" s="618"/>
      <c r="Q57" s="618"/>
      <c r="R57" s="618"/>
      <c r="S57" s="618"/>
      <c r="T57" s="618"/>
      <c r="U57" s="618"/>
      <c r="V57" s="618"/>
      <c r="W57" s="618"/>
      <c r="X57" s="618"/>
      <c r="Y57" s="618"/>
      <c r="Z57" s="618"/>
    </row>
    <row r="58" spans="1:26" ht="15.75" customHeight="1">
      <c r="A58" s="617"/>
      <c r="B58" s="618"/>
      <c r="C58" s="618"/>
      <c r="D58" s="618"/>
      <c r="E58" s="618"/>
      <c r="F58" s="618"/>
      <c r="G58" s="618"/>
      <c r="H58" s="618"/>
      <c r="I58" s="618"/>
      <c r="J58" s="618"/>
      <c r="K58" s="618"/>
      <c r="L58" s="618"/>
      <c r="M58" s="618"/>
      <c r="N58" s="618"/>
      <c r="O58" s="618"/>
      <c r="P58" s="618"/>
      <c r="Q58" s="618"/>
      <c r="R58" s="618"/>
      <c r="S58" s="618"/>
      <c r="T58" s="618"/>
      <c r="U58" s="618"/>
      <c r="V58" s="618"/>
      <c r="W58" s="618"/>
      <c r="X58" s="618"/>
      <c r="Y58" s="618"/>
      <c r="Z58" s="618"/>
    </row>
    <row r="59" spans="1:26" ht="15.75" customHeight="1">
      <c r="A59" s="617"/>
      <c r="B59" s="618"/>
      <c r="C59" s="618"/>
      <c r="D59" s="618"/>
      <c r="E59" s="618"/>
      <c r="F59" s="618"/>
      <c r="G59" s="618"/>
      <c r="H59" s="618"/>
      <c r="I59" s="618"/>
      <c r="J59" s="618"/>
      <c r="K59" s="618"/>
      <c r="L59" s="618"/>
      <c r="M59" s="618"/>
      <c r="N59" s="618"/>
      <c r="O59" s="618"/>
      <c r="P59" s="618"/>
      <c r="Q59" s="618"/>
      <c r="R59" s="618"/>
      <c r="S59" s="618"/>
      <c r="T59" s="618"/>
      <c r="U59" s="618"/>
      <c r="V59" s="618"/>
      <c r="W59" s="618"/>
      <c r="X59" s="618"/>
      <c r="Y59" s="618"/>
      <c r="Z59" s="618"/>
    </row>
    <row r="60" spans="1:26" ht="15.75" customHeight="1">
      <c r="A60" s="617"/>
      <c r="B60" s="618"/>
      <c r="C60" s="618"/>
      <c r="D60" s="618"/>
      <c r="E60" s="618"/>
      <c r="F60" s="618"/>
      <c r="G60" s="618"/>
      <c r="H60" s="618"/>
      <c r="I60" s="618"/>
      <c r="J60" s="618"/>
      <c r="K60" s="618"/>
      <c r="L60" s="618"/>
      <c r="M60" s="618"/>
      <c r="N60" s="618"/>
      <c r="O60" s="618"/>
      <c r="P60" s="618"/>
      <c r="Q60" s="618"/>
      <c r="R60" s="618"/>
      <c r="S60" s="618"/>
      <c r="T60" s="618"/>
      <c r="U60" s="618"/>
      <c r="V60" s="618"/>
      <c r="W60" s="618"/>
      <c r="X60" s="618"/>
      <c r="Y60" s="618"/>
      <c r="Z60" s="618"/>
    </row>
    <row r="61" spans="1:26" ht="15.75" customHeight="1">
      <c r="A61" s="617"/>
      <c r="B61" s="618"/>
      <c r="C61" s="618"/>
      <c r="D61" s="618"/>
      <c r="E61" s="618"/>
      <c r="F61" s="618"/>
      <c r="G61" s="618"/>
      <c r="H61" s="618"/>
      <c r="I61" s="618"/>
      <c r="J61" s="618"/>
      <c r="K61" s="618"/>
      <c r="L61" s="618"/>
      <c r="M61" s="618"/>
      <c r="N61" s="618"/>
      <c r="O61" s="618"/>
      <c r="P61" s="618"/>
      <c r="Q61" s="618"/>
      <c r="R61" s="618"/>
      <c r="S61" s="618"/>
      <c r="T61" s="618"/>
      <c r="U61" s="618"/>
      <c r="V61" s="618"/>
      <c r="W61" s="618"/>
      <c r="X61" s="618"/>
      <c r="Y61" s="618"/>
      <c r="Z61" s="618"/>
    </row>
    <row r="62" spans="1:26" ht="15.75" customHeight="1">
      <c r="A62" s="617"/>
      <c r="B62" s="618"/>
      <c r="C62" s="618"/>
      <c r="D62" s="618"/>
      <c r="E62" s="618"/>
      <c r="F62" s="618"/>
      <c r="G62" s="618"/>
      <c r="H62" s="618"/>
      <c r="I62" s="618"/>
      <c r="J62" s="618"/>
      <c r="K62" s="618"/>
      <c r="L62" s="618"/>
      <c r="M62" s="618"/>
      <c r="N62" s="618"/>
      <c r="O62" s="618"/>
      <c r="P62" s="618"/>
      <c r="Q62" s="618"/>
      <c r="R62" s="618"/>
      <c r="S62" s="618"/>
      <c r="T62" s="618"/>
      <c r="U62" s="618"/>
      <c r="V62" s="618"/>
      <c r="W62" s="618"/>
      <c r="X62" s="618"/>
      <c r="Y62" s="618"/>
      <c r="Z62" s="618"/>
    </row>
    <row r="63" spans="1:26" ht="15.75" customHeight="1">
      <c r="A63" s="617"/>
      <c r="B63" s="618"/>
      <c r="C63" s="618"/>
      <c r="D63" s="618"/>
      <c r="E63" s="618"/>
      <c r="F63" s="618"/>
      <c r="G63" s="618"/>
      <c r="H63" s="618"/>
      <c r="I63" s="618"/>
      <c r="J63" s="618"/>
      <c r="K63" s="618"/>
      <c r="L63" s="618"/>
      <c r="M63" s="618"/>
      <c r="N63" s="618"/>
      <c r="O63" s="618"/>
      <c r="P63" s="618"/>
      <c r="Q63" s="618"/>
      <c r="R63" s="618"/>
      <c r="S63" s="618"/>
      <c r="T63" s="618"/>
      <c r="U63" s="618"/>
      <c r="V63" s="618"/>
      <c r="W63" s="618"/>
      <c r="X63" s="618"/>
      <c r="Y63" s="618"/>
      <c r="Z63" s="618"/>
    </row>
    <row r="64" spans="1:26" ht="15.75" customHeight="1">
      <c r="A64" s="617"/>
      <c r="B64" s="618"/>
      <c r="C64" s="618"/>
      <c r="D64" s="618"/>
      <c r="E64" s="618"/>
      <c r="F64" s="618"/>
      <c r="G64" s="618"/>
      <c r="H64" s="618"/>
      <c r="I64" s="618"/>
      <c r="J64" s="618"/>
      <c r="K64" s="618"/>
      <c r="L64" s="618"/>
      <c r="M64" s="618"/>
      <c r="N64" s="618"/>
      <c r="O64" s="618"/>
      <c r="P64" s="618"/>
      <c r="Q64" s="618"/>
      <c r="R64" s="618"/>
      <c r="S64" s="618"/>
      <c r="T64" s="618"/>
      <c r="U64" s="618"/>
      <c r="V64" s="618"/>
      <c r="W64" s="618"/>
      <c r="X64" s="618"/>
      <c r="Y64" s="618"/>
      <c r="Z64" s="618"/>
    </row>
    <row r="65" spans="1:26" ht="15.75" customHeight="1">
      <c r="A65" s="617"/>
      <c r="B65" s="618"/>
      <c r="C65" s="618"/>
      <c r="D65" s="618"/>
      <c r="E65" s="618"/>
      <c r="F65" s="618"/>
      <c r="G65" s="618"/>
      <c r="H65" s="618"/>
      <c r="I65" s="618"/>
      <c r="J65" s="618"/>
      <c r="K65" s="618"/>
      <c r="L65" s="618"/>
      <c r="M65" s="618"/>
      <c r="N65" s="618"/>
      <c r="O65" s="618"/>
      <c r="P65" s="618"/>
      <c r="Q65" s="618"/>
      <c r="R65" s="618"/>
      <c r="S65" s="618"/>
      <c r="T65" s="618"/>
      <c r="U65" s="618"/>
      <c r="V65" s="618"/>
      <c r="W65" s="618"/>
      <c r="X65" s="618"/>
      <c r="Y65" s="618"/>
      <c r="Z65" s="618"/>
    </row>
    <row r="66" spans="1:26" ht="15.75" customHeight="1">
      <c r="A66" s="617"/>
      <c r="B66" s="618"/>
      <c r="C66" s="618"/>
      <c r="D66" s="618"/>
      <c r="E66" s="618"/>
      <c r="F66" s="618"/>
      <c r="G66" s="618"/>
      <c r="H66" s="618"/>
      <c r="I66" s="618"/>
      <c r="J66" s="618"/>
      <c r="K66" s="618"/>
      <c r="L66" s="618"/>
      <c r="M66" s="618"/>
      <c r="N66" s="618"/>
      <c r="O66" s="618"/>
      <c r="P66" s="618"/>
      <c r="Q66" s="618"/>
      <c r="R66" s="618"/>
      <c r="S66" s="618"/>
      <c r="T66" s="618"/>
      <c r="U66" s="618"/>
      <c r="V66" s="618"/>
      <c r="W66" s="618"/>
      <c r="X66" s="618"/>
      <c r="Y66" s="618"/>
      <c r="Z66" s="618"/>
    </row>
    <row r="67" spans="1:26" ht="15.75" customHeight="1">
      <c r="A67" s="617"/>
      <c r="B67" s="618"/>
      <c r="C67" s="618"/>
      <c r="D67" s="618"/>
      <c r="E67" s="618"/>
      <c r="F67" s="618"/>
      <c r="G67" s="618"/>
      <c r="H67" s="618"/>
      <c r="I67" s="618"/>
      <c r="J67" s="618"/>
      <c r="K67" s="618"/>
      <c r="L67" s="618"/>
      <c r="M67" s="618"/>
      <c r="N67" s="618"/>
      <c r="O67" s="618"/>
      <c r="P67" s="618"/>
      <c r="Q67" s="618"/>
      <c r="R67" s="618"/>
      <c r="S67" s="618"/>
      <c r="T67" s="618"/>
      <c r="U67" s="618"/>
      <c r="V67" s="618"/>
      <c r="W67" s="618"/>
      <c r="X67" s="618"/>
      <c r="Y67" s="618"/>
      <c r="Z67" s="618"/>
    </row>
    <row r="68" spans="1:26" ht="15.75" customHeight="1">
      <c r="A68" s="617"/>
      <c r="B68" s="618"/>
      <c r="C68" s="618"/>
      <c r="D68" s="618"/>
      <c r="E68" s="618"/>
      <c r="F68" s="618"/>
      <c r="G68" s="618"/>
      <c r="H68" s="618"/>
      <c r="I68" s="618"/>
      <c r="J68" s="618"/>
      <c r="K68" s="618"/>
      <c r="L68" s="618"/>
      <c r="M68" s="618"/>
      <c r="N68" s="618"/>
      <c r="O68" s="618"/>
      <c r="P68" s="618"/>
      <c r="Q68" s="618"/>
      <c r="R68" s="618"/>
      <c r="S68" s="618"/>
      <c r="T68" s="618"/>
      <c r="U68" s="618"/>
      <c r="V68" s="618"/>
      <c r="W68" s="618"/>
      <c r="X68" s="618"/>
      <c r="Y68" s="618"/>
      <c r="Z68" s="618"/>
    </row>
    <row r="69" spans="1:26" ht="15.75" customHeight="1">
      <c r="A69" s="617"/>
      <c r="B69" s="618"/>
      <c r="C69" s="618"/>
      <c r="D69" s="618"/>
      <c r="E69" s="618"/>
      <c r="F69" s="618"/>
      <c r="G69" s="618"/>
      <c r="H69" s="618"/>
      <c r="I69" s="618"/>
      <c r="J69" s="618"/>
      <c r="K69" s="618"/>
      <c r="L69" s="618"/>
      <c r="M69" s="618"/>
      <c r="N69" s="618"/>
      <c r="O69" s="618"/>
      <c r="P69" s="618"/>
      <c r="Q69" s="618"/>
      <c r="R69" s="618"/>
      <c r="S69" s="618"/>
      <c r="T69" s="618"/>
      <c r="U69" s="618"/>
      <c r="V69" s="618"/>
      <c r="W69" s="618"/>
      <c r="X69" s="618"/>
      <c r="Y69" s="618"/>
      <c r="Z69" s="618"/>
    </row>
    <row r="70" spans="1:26" ht="15.75" customHeight="1">
      <c r="A70" s="617"/>
      <c r="B70" s="618"/>
      <c r="C70" s="618"/>
      <c r="D70" s="618"/>
      <c r="E70" s="618"/>
      <c r="F70" s="618"/>
      <c r="G70" s="618"/>
      <c r="H70" s="618"/>
      <c r="I70" s="618"/>
      <c r="J70" s="618"/>
      <c r="K70" s="618"/>
      <c r="L70" s="618"/>
      <c r="M70" s="618"/>
      <c r="N70" s="618"/>
      <c r="O70" s="618"/>
      <c r="P70" s="618"/>
      <c r="Q70" s="618"/>
      <c r="R70" s="618"/>
      <c r="S70" s="618"/>
      <c r="T70" s="618"/>
      <c r="U70" s="618"/>
      <c r="V70" s="618"/>
      <c r="W70" s="618"/>
      <c r="X70" s="618"/>
      <c r="Y70" s="618"/>
      <c r="Z70" s="618"/>
    </row>
    <row r="71" spans="1:26" ht="15.75" customHeight="1">
      <c r="A71" s="617"/>
      <c r="B71" s="618"/>
      <c r="C71" s="618"/>
      <c r="D71" s="618"/>
      <c r="E71" s="618"/>
      <c r="F71" s="618"/>
      <c r="G71" s="618"/>
      <c r="H71" s="618"/>
      <c r="I71" s="618"/>
      <c r="J71" s="618"/>
      <c r="K71" s="618"/>
      <c r="L71" s="618"/>
      <c r="M71" s="618"/>
      <c r="N71" s="618"/>
      <c r="O71" s="618"/>
      <c r="P71" s="618"/>
      <c r="Q71" s="618"/>
      <c r="R71" s="618"/>
      <c r="S71" s="618"/>
      <c r="T71" s="618"/>
      <c r="U71" s="618"/>
      <c r="V71" s="618"/>
      <c r="W71" s="618"/>
      <c r="X71" s="618"/>
      <c r="Y71" s="618"/>
      <c r="Z71" s="618"/>
    </row>
    <row r="72" spans="1:26" ht="15.75" customHeight="1">
      <c r="A72" s="617"/>
      <c r="B72" s="618"/>
      <c r="C72" s="618"/>
      <c r="D72" s="618"/>
      <c r="E72" s="618"/>
      <c r="F72" s="618"/>
      <c r="G72" s="618"/>
      <c r="H72" s="618"/>
      <c r="I72" s="618"/>
      <c r="J72" s="618"/>
      <c r="K72" s="618"/>
      <c r="L72" s="618"/>
      <c r="M72" s="618"/>
      <c r="N72" s="618"/>
      <c r="O72" s="618"/>
      <c r="P72" s="618"/>
      <c r="Q72" s="618"/>
      <c r="R72" s="618"/>
      <c r="S72" s="618"/>
      <c r="T72" s="618"/>
      <c r="U72" s="618"/>
      <c r="V72" s="618"/>
      <c r="W72" s="618"/>
      <c r="X72" s="618"/>
      <c r="Y72" s="618"/>
      <c r="Z72" s="618"/>
    </row>
    <row r="73" spans="1:26" ht="15.75" customHeight="1">
      <c r="A73" s="617"/>
      <c r="B73" s="618"/>
      <c r="C73" s="618"/>
      <c r="D73" s="618"/>
      <c r="E73" s="618"/>
      <c r="F73" s="618"/>
      <c r="G73" s="618"/>
      <c r="H73" s="618"/>
      <c r="I73" s="618"/>
      <c r="J73" s="618"/>
      <c r="K73" s="618"/>
      <c r="L73" s="618"/>
      <c r="M73" s="618"/>
      <c r="N73" s="618"/>
      <c r="O73" s="618"/>
      <c r="P73" s="618"/>
      <c r="Q73" s="618"/>
      <c r="R73" s="618"/>
      <c r="S73" s="618"/>
      <c r="T73" s="618"/>
      <c r="U73" s="618"/>
      <c r="V73" s="618"/>
      <c r="W73" s="618"/>
      <c r="X73" s="618"/>
      <c r="Y73" s="618"/>
      <c r="Z73" s="618"/>
    </row>
    <row r="74" spans="1:26" ht="15.75" customHeight="1">
      <c r="A74" s="617"/>
      <c r="B74" s="618"/>
      <c r="C74" s="618"/>
      <c r="D74" s="618"/>
      <c r="E74" s="618"/>
      <c r="F74" s="618"/>
      <c r="G74" s="618"/>
      <c r="H74" s="618"/>
      <c r="I74" s="618"/>
      <c r="J74" s="618"/>
      <c r="K74" s="618"/>
      <c r="L74" s="618"/>
      <c r="M74" s="618"/>
      <c r="N74" s="618"/>
      <c r="O74" s="618"/>
      <c r="P74" s="618"/>
      <c r="Q74" s="618"/>
      <c r="R74" s="618"/>
      <c r="S74" s="618"/>
      <c r="T74" s="618"/>
      <c r="U74" s="618"/>
      <c r="V74" s="618"/>
      <c r="W74" s="618"/>
      <c r="X74" s="618"/>
      <c r="Y74" s="618"/>
      <c r="Z74" s="618"/>
    </row>
    <row r="75" spans="1:26" ht="15.75" customHeight="1">
      <c r="A75" s="617"/>
      <c r="B75" s="618"/>
      <c r="C75" s="618"/>
      <c r="D75" s="618"/>
      <c r="E75" s="618"/>
      <c r="F75" s="618"/>
      <c r="G75" s="618"/>
      <c r="H75" s="618"/>
      <c r="I75" s="618"/>
      <c r="J75" s="618"/>
      <c r="K75" s="618"/>
      <c r="L75" s="618"/>
      <c r="M75" s="618"/>
      <c r="N75" s="618"/>
      <c r="O75" s="618"/>
      <c r="P75" s="618"/>
      <c r="Q75" s="618"/>
      <c r="R75" s="618"/>
      <c r="S75" s="618"/>
      <c r="T75" s="618"/>
      <c r="U75" s="618"/>
      <c r="V75" s="618"/>
      <c r="W75" s="618"/>
      <c r="X75" s="618"/>
      <c r="Y75" s="618"/>
      <c r="Z75" s="618"/>
    </row>
    <row r="76" spans="1:26" ht="15.75" customHeight="1">
      <c r="A76" s="617"/>
      <c r="B76" s="618"/>
      <c r="C76" s="618"/>
      <c r="D76" s="618"/>
      <c r="E76" s="618"/>
      <c r="F76" s="618"/>
      <c r="G76" s="618"/>
      <c r="H76" s="618"/>
      <c r="I76" s="618"/>
      <c r="J76" s="618"/>
      <c r="K76" s="618"/>
      <c r="L76" s="618"/>
      <c r="M76" s="618"/>
      <c r="N76" s="618"/>
      <c r="O76" s="618"/>
      <c r="P76" s="618"/>
      <c r="Q76" s="618"/>
      <c r="R76" s="618"/>
      <c r="S76" s="618"/>
      <c r="T76" s="618"/>
      <c r="U76" s="618"/>
      <c r="V76" s="618"/>
      <c r="W76" s="618"/>
      <c r="X76" s="618"/>
      <c r="Y76" s="618"/>
      <c r="Z76" s="618"/>
    </row>
    <row r="77" spans="1:26" ht="15.75" customHeight="1">
      <c r="A77" s="617"/>
      <c r="B77" s="618"/>
      <c r="C77" s="618"/>
      <c r="D77" s="618"/>
      <c r="E77" s="618"/>
      <c r="F77" s="618"/>
      <c r="G77" s="618"/>
      <c r="H77" s="618"/>
      <c r="I77" s="618"/>
      <c r="J77" s="618"/>
      <c r="K77" s="618"/>
      <c r="L77" s="618"/>
      <c r="M77" s="618"/>
      <c r="N77" s="618"/>
      <c r="O77" s="618"/>
      <c r="P77" s="618"/>
      <c r="Q77" s="618"/>
      <c r="R77" s="618"/>
      <c r="S77" s="618"/>
      <c r="T77" s="618"/>
      <c r="U77" s="618"/>
      <c r="V77" s="618"/>
      <c r="W77" s="618"/>
      <c r="X77" s="618"/>
      <c r="Y77" s="618"/>
      <c r="Z77" s="618"/>
    </row>
    <row r="78" spans="1:26" ht="15.75" customHeight="1">
      <c r="A78" s="617"/>
      <c r="B78" s="618"/>
      <c r="C78" s="618"/>
      <c r="D78" s="618"/>
      <c r="E78" s="618"/>
      <c r="F78" s="618"/>
      <c r="G78" s="618"/>
      <c r="H78" s="618"/>
      <c r="I78" s="618"/>
      <c r="J78" s="618"/>
      <c r="K78" s="618"/>
      <c r="L78" s="618"/>
      <c r="M78" s="618"/>
      <c r="N78" s="618"/>
      <c r="O78" s="618"/>
      <c r="P78" s="618"/>
      <c r="Q78" s="618"/>
      <c r="R78" s="618"/>
      <c r="S78" s="618"/>
      <c r="T78" s="618"/>
      <c r="U78" s="618"/>
      <c r="V78" s="618"/>
      <c r="W78" s="618"/>
      <c r="X78" s="618"/>
      <c r="Y78" s="618"/>
      <c r="Z78" s="618"/>
    </row>
    <row r="79" spans="1:26" ht="15.75" customHeight="1">
      <c r="A79" s="617"/>
      <c r="B79" s="618"/>
      <c r="C79" s="618"/>
      <c r="D79" s="618"/>
      <c r="E79" s="618"/>
      <c r="F79" s="618"/>
      <c r="G79" s="618"/>
      <c r="H79" s="618"/>
      <c r="I79" s="618"/>
      <c r="J79" s="618"/>
      <c r="K79" s="618"/>
      <c r="L79" s="618"/>
      <c r="M79" s="618"/>
      <c r="N79" s="618"/>
      <c r="O79" s="618"/>
      <c r="P79" s="618"/>
      <c r="Q79" s="618"/>
      <c r="R79" s="618"/>
      <c r="S79" s="618"/>
      <c r="T79" s="618"/>
      <c r="U79" s="618"/>
      <c r="V79" s="618"/>
      <c r="W79" s="618"/>
      <c r="X79" s="618"/>
      <c r="Y79" s="618"/>
      <c r="Z79" s="618"/>
    </row>
    <row r="80" spans="1:26" ht="15.75" customHeight="1">
      <c r="A80" s="617"/>
      <c r="B80" s="618"/>
      <c r="C80" s="618"/>
      <c r="D80" s="618"/>
      <c r="E80" s="618"/>
      <c r="F80" s="618"/>
      <c r="G80" s="618"/>
      <c r="H80" s="618"/>
      <c r="I80" s="618"/>
      <c r="J80" s="618"/>
      <c r="K80" s="618"/>
      <c r="L80" s="618"/>
      <c r="M80" s="618"/>
      <c r="N80" s="618"/>
      <c r="O80" s="618"/>
      <c r="P80" s="618"/>
      <c r="Q80" s="618"/>
      <c r="R80" s="618"/>
      <c r="S80" s="618"/>
      <c r="T80" s="618"/>
      <c r="U80" s="618"/>
      <c r="V80" s="618"/>
      <c r="W80" s="618"/>
      <c r="X80" s="618"/>
      <c r="Y80" s="618"/>
      <c r="Z80" s="618"/>
    </row>
    <row r="81" spans="1:26" ht="15.75" customHeight="1">
      <c r="A81" s="617"/>
      <c r="B81" s="618"/>
      <c r="C81" s="618"/>
      <c r="D81" s="618"/>
      <c r="E81" s="618"/>
      <c r="F81" s="618"/>
      <c r="G81" s="618"/>
      <c r="H81" s="618"/>
      <c r="I81" s="618"/>
      <c r="J81" s="618"/>
      <c r="K81" s="618"/>
      <c r="L81" s="618"/>
      <c r="M81" s="618"/>
      <c r="N81" s="618"/>
      <c r="O81" s="618"/>
      <c r="P81" s="618"/>
      <c r="Q81" s="618"/>
      <c r="R81" s="618"/>
      <c r="S81" s="618"/>
      <c r="T81" s="618"/>
      <c r="U81" s="618"/>
      <c r="V81" s="618"/>
      <c r="W81" s="618"/>
      <c r="X81" s="618"/>
      <c r="Y81" s="618"/>
      <c r="Z81" s="618"/>
    </row>
    <row r="82" spans="1:26" ht="15.75" customHeight="1">
      <c r="A82" s="617"/>
      <c r="B82" s="618"/>
      <c r="C82" s="618"/>
      <c r="D82" s="618"/>
      <c r="E82" s="618"/>
      <c r="F82" s="618"/>
      <c r="G82" s="618"/>
      <c r="H82" s="618"/>
      <c r="I82" s="618"/>
      <c r="J82" s="618"/>
      <c r="K82" s="618"/>
      <c r="L82" s="618"/>
      <c r="M82" s="618"/>
      <c r="N82" s="618"/>
      <c r="O82" s="618"/>
      <c r="P82" s="618"/>
      <c r="Q82" s="618"/>
      <c r="R82" s="618"/>
      <c r="S82" s="618"/>
      <c r="T82" s="618"/>
      <c r="U82" s="618"/>
      <c r="V82" s="618"/>
      <c r="W82" s="618"/>
      <c r="X82" s="618"/>
      <c r="Y82" s="618"/>
      <c r="Z82" s="618"/>
    </row>
    <row r="83" spans="1:26" ht="15.75" customHeight="1">
      <c r="A83" s="617"/>
      <c r="B83" s="618"/>
      <c r="C83" s="618"/>
      <c r="D83" s="618"/>
      <c r="E83" s="618"/>
      <c r="F83" s="618"/>
      <c r="G83" s="618"/>
      <c r="H83" s="618"/>
      <c r="I83" s="618"/>
      <c r="J83" s="618"/>
      <c r="K83" s="618"/>
      <c r="L83" s="618"/>
      <c r="M83" s="618"/>
      <c r="N83" s="618"/>
      <c r="O83" s="618"/>
      <c r="P83" s="618"/>
      <c r="Q83" s="618"/>
      <c r="R83" s="618"/>
      <c r="S83" s="618"/>
      <c r="T83" s="618"/>
      <c r="U83" s="618"/>
      <c r="V83" s="618"/>
      <c r="W83" s="618"/>
      <c r="X83" s="618"/>
      <c r="Y83" s="618"/>
      <c r="Z83" s="618"/>
    </row>
    <row r="84" spans="1:26" ht="15.75" customHeight="1">
      <c r="A84" s="617"/>
      <c r="B84" s="618"/>
      <c r="C84" s="618"/>
      <c r="D84" s="618"/>
      <c r="E84" s="618"/>
      <c r="F84" s="618"/>
      <c r="G84" s="618"/>
      <c r="H84" s="618"/>
      <c r="I84" s="618"/>
      <c r="J84" s="618"/>
      <c r="K84" s="618"/>
      <c r="L84" s="618"/>
      <c r="M84" s="618"/>
      <c r="N84" s="618"/>
      <c r="O84" s="618"/>
      <c r="P84" s="618"/>
      <c r="Q84" s="618"/>
      <c r="R84" s="618"/>
      <c r="S84" s="618"/>
      <c r="T84" s="618"/>
      <c r="U84" s="618"/>
      <c r="V84" s="618"/>
      <c r="W84" s="618"/>
      <c r="X84" s="618"/>
      <c r="Y84" s="618"/>
      <c r="Z84" s="618"/>
    </row>
    <row r="85" spans="1:26" ht="15.75" customHeight="1">
      <c r="A85" s="617"/>
      <c r="B85" s="618"/>
      <c r="C85" s="618"/>
      <c r="D85" s="618"/>
      <c r="E85" s="618"/>
      <c r="F85" s="618"/>
      <c r="G85" s="618"/>
      <c r="H85" s="618"/>
      <c r="I85" s="618"/>
      <c r="J85" s="618"/>
      <c r="K85" s="618"/>
      <c r="L85" s="618"/>
      <c r="M85" s="618"/>
      <c r="N85" s="618"/>
      <c r="O85" s="618"/>
      <c r="P85" s="618"/>
      <c r="Q85" s="618"/>
      <c r="R85" s="618"/>
      <c r="S85" s="618"/>
      <c r="T85" s="618"/>
      <c r="U85" s="618"/>
      <c r="V85" s="618"/>
      <c r="W85" s="618"/>
      <c r="X85" s="618"/>
      <c r="Y85" s="618"/>
      <c r="Z85" s="618"/>
    </row>
    <row r="86" spans="1:26" ht="15.75" customHeight="1">
      <c r="A86" s="617"/>
      <c r="B86" s="618"/>
      <c r="C86" s="618"/>
      <c r="D86" s="618"/>
      <c r="E86" s="618"/>
      <c r="F86" s="618"/>
      <c r="G86" s="618"/>
      <c r="H86" s="618"/>
      <c r="I86" s="618"/>
      <c r="J86" s="618"/>
      <c r="K86" s="618"/>
      <c r="L86" s="618"/>
      <c r="M86" s="618"/>
      <c r="N86" s="618"/>
      <c r="O86" s="618"/>
      <c r="P86" s="618"/>
      <c r="Q86" s="618"/>
      <c r="R86" s="618"/>
      <c r="S86" s="618"/>
      <c r="T86" s="618"/>
      <c r="U86" s="618"/>
      <c r="V86" s="618"/>
      <c r="W86" s="618"/>
      <c r="X86" s="618"/>
      <c r="Y86" s="618"/>
      <c r="Z86" s="618"/>
    </row>
    <row r="87" spans="1:26" ht="15.75" customHeight="1">
      <c r="A87" s="617"/>
      <c r="B87" s="618"/>
      <c r="C87" s="618"/>
      <c r="D87" s="618"/>
      <c r="E87" s="618"/>
      <c r="F87" s="618"/>
      <c r="G87" s="618"/>
      <c r="H87" s="618"/>
      <c r="I87" s="618"/>
      <c r="J87" s="618"/>
      <c r="K87" s="618"/>
      <c r="L87" s="618"/>
      <c r="M87" s="618"/>
      <c r="N87" s="618"/>
      <c r="O87" s="618"/>
      <c r="P87" s="618"/>
      <c r="Q87" s="618"/>
      <c r="R87" s="618"/>
      <c r="S87" s="618"/>
      <c r="T87" s="618"/>
      <c r="U87" s="618"/>
      <c r="V87" s="618"/>
      <c r="W87" s="618"/>
      <c r="X87" s="618"/>
      <c r="Y87" s="618"/>
      <c r="Z87" s="618"/>
    </row>
    <row r="88" spans="1:26" ht="15.75" customHeight="1">
      <c r="A88" s="617"/>
      <c r="B88" s="618"/>
      <c r="C88" s="618"/>
      <c r="D88" s="618"/>
      <c r="E88" s="618"/>
      <c r="F88" s="618"/>
      <c r="G88" s="618"/>
      <c r="H88" s="618"/>
      <c r="I88" s="618"/>
      <c r="J88" s="618"/>
      <c r="K88" s="618"/>
      <c r="L88" s="618"/>
      <c r="M88" s="618"/>
      <c r="N88" s="618"/>
      <c r="O88" s="618"/>
      <c r="P88" s="618"/>
      <c r="Q88" s="618"/>
      <c r="R88" s="618"/>
      <c r="S88" s="618"/>
      <c r="T88" s="618"/>
      <c r="U88" s="618"/>
      <c r="V88" s="618"/>
      <c r="W88" s="618"/>
      <c r="X88" s="618"/>
      <c r="Y88" s="618"/>
      <c r="Z88" s="618"/>
    </row>
    <row r="89" spans="1:26" ht="15.75" customHeight="1">
      <c r="A89" s="617"/>
      <c r="B89" s="618"/>
      <c r="C89" s="618"/>
      <c r="D89" s="618"/>
      <c r="E89" s="618"/>
      <c r="F89" s="618"/>
      <c r="G89" s="618"/>
      <c r="H89" s="618"/>
      <c r="I89" s="618"/>
      <c r="J89" s="618"/>
      <c r="K89" s="618"/>
      <c r="L89" s="618"/>
      <c r="M89" s="618"/>
      <c r="N89" s="618"/>
      <c r="O89" s="618"/>
      <c r="P89" s="618"/>
      <c r="Q89" s="618"/>
      <c r="R89" s="618"/>
      <c r="S89" s="618"/>
      <c r="T89" s="618"/>
      <c r="U89" s="618"/>
      <c r="V89" s="618"/>
      <c r="W89" s="618"/>
      <c r="X89" s="618"/>
      <c r="Y89" s="618"/>
      <c r="Z89" s="618"/>
    </row>
    <row r="90" spans="1:26" ht="15.75" customHeight="1">
      <c r="A90" s="617"/>
      <c r="B90" s="618"/>
      <c r="C90" s="618"/>
      <c r="D90" s="618"/>
      <c r="E90" s="618"/>
      <c r="F90" s="618"/>
      <c r="G90" s="618"/>
      <c r="H90" s="618"/>
      <c r="I90" s="618"/>
      <c r="J90" s="618"/>
      <c r="K90" s="618"/>
      <c r="L90" s="618"/>
      <c r="M90" s="618"/>
      <c r="N90" s="618"/>
      <c r="O90" s="618"/>
      <c r="P90" s="618"/>
      <c r="Q90" s="618"/>
      <c r="R90" s="618"/>
      <c r="S90" s="618"/>
      <c r="T90" s="618"/>
      <c r="U90" s="618"/>
      <c r="V90" s="618"/>
      <c r="W90" s="618"/>
      <c r="X90" s="618"/>
      <c r="Y90" s="618"/>
      <c r="Z90" s="618"/>
    </row>
    <row r="91" spans="1:26" ht="15.75" customHeight="1">
      <c r="A91" s="617"/>
      <c r="B91" s="618"/>
      <c r="C91" s="618"/>
      <c r="D91" s="618"/>
      <c r="E91" s="618"/>
      <c r="F91" s="618"/>
      <c r="G91" s="618"/>
      <c r="H91" s="618"/>
      <c r="I91" s="618"/>
      <c r="J91" s="618"/>
      <c r="K91" s="618"/>
      <c r="L91" s="618"/>
      <c r="M91" s="618"/>
      <c r="N91" s="618"/>
      <c r="O91" s="618"/>
      <c r="P91" s="618"/>
      <c r="Q91" s="618"/>
      <c r="R91" s="618"/>
      <c r="S91" s="618"/>
      <c r="T91" s="618"/>
      <c r="U91" s="618"/>
      <c r="V91" s="618"/>
      <c r="W91" s="618"/>
      <c r="X91" s="618"/>
      <c r="Y91" s="618"/>
      <c r="Z91" s="618"/>
    </row>
    <row r="92" spans="1:26" ht="15.75" customHeight="1">
      <c r="A92" s="617"/>
      <c r="B92" s="618"/>
      <c r="C92" s="618"/>
      <c r="D92" s="618"/>
      <c r="E92" s="618"/>
      <c r="F92" s="618"/>
      <c r="G92" s="618"/>
      <c r="H92" s="618"/>
      <c r="I92" s="618"/>
      <c r="J92" s="618"/>
      <c r="K92" s="618"/>
      <c r="L92" s="618"/>
      <c r="M92" s="618"/>
      <c r="N92" s="618"/>
      <c r="O92" s="618"/>
      <c r="P92" s="618"/>
      <c r="Q92" s="618"/>
      <c r="R92" s="618"/>
      <c r="S92" s="618"/>
      <c r="T92" s="618"/>
      <c r="U92" s="618"/>
      <c r="V92" s="618"/>
      <c r="W92" s="618"/>
      <c r="X92" s="618"/>
      <c r="Y92" s="618"/>
      <c r="Z92" s="618"/>
    </row>
    <row r="93" spans="1:26" ht="15.75" customHeight="1">
      <c r="A93" s="617"/>
      <c r="B93" s="618"/>
      <c r="C93" s="618"/>
      <c r="D93" s="618"/>
      <c r="E93" s="618"/>
      <c r="F93" s="618"/>
      <c r="G93" s="618"/>
      <c r="H93" s="618"/>
      <c r="I93" s="618"/>
      <c r="J93" s="618"/>
      <c r="K93" s="618"/>
      <c r="L93" s="618"/>
      <c r="M93" s="618"/>
      <c r="N93" s="618"/>
      <c r="O93" s="618"/>
      <c r="P93" s="618"/>
      <c r="Q93" s="618"/>
      <c r="R93" s="618"/>
      <c r="S93" s="618"/>
      <c r="T93" s="618"/>
      <c r="U93" s="618"/>
      <c r="V93" s="618"/>
      <c r="W93" s="618"/>
      <c r="X93" s="618"/>
      <c r="Y93" s="618"/>
      <c r="Z93" s="618"/>
    </row>
    <row r="94" spans="1:26" ht="15.75" customHeight="1">
      <c r="A94" s="617"/>
      <c r="B94" s="618"/>
      <c r="C94" s="618"/>
      <c r="D94" s="618"/>
      <c r="E94" s="618"/>
      <c r="F94" s="618"/>
      <c r="G94" s="618"/>
      <c r="H94" s="618"/>
      <c r="I94" s="618"/>
      <c r="J94" s="618"/>
      <c r="K94" s="618"/>
      <c r="L94" s="618"/>
      <c r="M94" s="618"/>
      <c r="N94" s="618"/>
      <c r="O94" s="618"/>
      <c r="P94" s="618"/>
      <c r="Q94" s="618"/>
      <c r="R94" s="618"/>
      <c r="S94" s="618"/>
      <c r="T94" s="618"/>
      <c r="U94" s="618"/>
      <c r="V94" s="618"/>
      <c r="W94" s="618"/>
      <c r="X94" s="618"/>
      <c r="Y94" s="618"/>
      <c r="Z94" s="618"/>
    </row>
    <row r="95" spans="1:26" ht="15.75" customHeight="1">
      <c r="A95" s="617"/>
      <c r="B95" s="618"/>
      <c r="C95" s="618"/>
      <c r="D95" s="618"/>
      <c r="E95" s="618"/>
      <c r="F95" s="618"/>
      <c r="G95" s="618"/>
      <c r="H95" s="618"/>
      <c r="I95" s="618"/>
      <c r="J95" s="618"/>
      <c r="K95" s="618"/>
      <c r="L95" s="618"/>
      <c r="M95" s="618"/>
      <c r="N95" s="618"/>
      <c r="O95" s="618"/>
      <c r="P95" s="618"/>
      <c r="Q95" s="618"/>
      <c r="R95" s="618"/>
      <c r="S95" s="618"/>
      <c r="T95" s="618"/>
      <c r="U95" s="618"/>
      <c r="V95" s="618"/>
      <c r="W95" s="618"/>
      <c r="X95" s="618"/>
      <c r="Y95" s="618"/>
      <c r="Z95" s="618"/>
    </row>
    <row r="96" spans="1:26" ht="15.75" customHeight="1">
      <c r="A96" s="617"/>
      <c r="B96" s="618"/>
      <c r="C96" s="618"/>
      <c r="D96" s="618"/>
      <c r="E96" s="618"/>
      <c r="F96" s="618"/>
      <c r="G96" s="618"/>
      <c r="H96" s="618"/>
      <c r="I96" s="618"/>
      <c r="J96" s="618"/>
      <c r="K96" s="618"/>
      <c r="L96" s="618"/>
      <c r="M96" s="618"/>
      <c r="N96" s="618"/>
      <c r="O96" s="618"/>
      <c r="P96" s="618"/>
      <c r="Q96" s="618"/>
      <c r="R96" s="618"/>
      <c r="S96" s="618"/>
      <c r="T96" s="618"/>
      <c r="U96" s="618"/>
      <c r="V96" s="618"/>
      <c r="W96" s="618"/>
      <c r="X96" s="618"/>
      <c r="Y96" s="618"/>
      <c r="Z96" s="618"/>
    </row>
    <row r="97" spans="1:26" ht="15.75" customHeight="1">
      <c r="A97" s="617"/>
      <c r="B97" s="618"/>
      <c r="C97" s="618"/>
      <c r="D97" s="618"/>
      <c r="E97" s="618"/>
      <c r="F97" s="618"/>
      <c r="G97" s="618"/>
      <c r="H97" s="618"/>
      <c r="I97" s="618"/>
      <c r="J97" s="618"/>
      <c r="K97" s="618"/>
      <c r="L97" s="618"/>
      <c r="M97" s="618"/>
      <c r="N97" s="618"/>
      <c r="O97" s="618"/>
      <c r="P97" s="618"/>
      <c r="Q97" s="618"/>
      <c r="R97" s="618"/>
      <c r="S97" s="618"/>
      <c r="T97" s="618"/>
      <c r="U97" s="618"/>
      <c r="V97" s="618"/>
      <c r="W97" s="618"/>
      <c r="X97" s="618"/>
      <c r="Y97" s="618"/>
      <c r="Z97" s="618"/>
    </row>
    <row r="98" spans="1:26" ht="15.75" customHeight="1">
      <c r="A98" s="617"/>
      <c r="B98" s="618"/>
      <c r="C98" s="618"/>
      <c r="D98" s="618"/>
      <c r="E98" s="618"/>
      <c r="F98" s="618"/>
      <c r="G98" s="618"/>
      <c r="H98" s="618"/>
      <c r="I98" s="618"/>
      <c r="J98" s="618"/>
      <c r="K98" s="618"/>
      <c r="L98" s="618"/>
      <c r="M98" s="618"/>
      <c r="N98" s="618"/>
      <c r="O98" s="618"/>
      <c r="P98" s="618"/>
      <c r="Q98" s="618"/>
      <c r="R98" s="618"/>
      <c r="S98" s="618"/>
      <c r="T98" s="618"/>
      <c r="U98" s="618"/>
      <c r="V98" s="618"/>
      <c r="W98" s="618"/>
      <c r="X98" s="618"/>
      <c r="Y98" s="618"/>
      <c r="Z98" s="618"/>
    </row>
    <row r="99" spans="1:26" ht="15.75" customHeight="1">
      <c r="A99" s="617"/>
      <c r="B99" s="618"/>
      <c r="C99" s="618"/>
      <c r="D99" s="618"/>
      <c r="E99" s="618"/>
      <c r="F99" s="618"/>
      <c r="G99" s="618"/>
      <c r="H99" s="618"/>
      <c r="I99" s="618"/>
      <c r="J99" s="618"/>
      <c r="K99" s="618"/>
      <c r="L99" s="618"/>
      <c r="M99" s="618"/>
      <c r="N99" s="618"/>
      <c r="O99" s="618"/>
      <c r="P99" s="618"/>
      <c r="Q99" s="618"/>
      <c r="R99" s="618"/>
      <c r="S99" s="618"/>
      <c r="T99" s="618"/>
      <c r="U99" s="618"/>
      <c r="V99" s="618"/>
      <c r="W99" s="618"/>
      <c r="X99" s="618"/>
      <c r="Y99" s="618"/>
      <c r="Z99" s="618"/>
    </row>
    <row r="100" spans="1:26" ht="15.75" customHeight="1">
      <c r="A100" s="617"/>
      <c r="B100" s="618"/>
      <c r="C100" s="618"/>
      <c r="D100" s="618"/>
      <c r="E100" s="618"/>
      <c r="F100" s="618"/>
      <c r="G100" s="618"/>
      <c r="H100" s="618"/>
      <c r="I100" s="618"/>
      <c r="J100" s="618"/>
      <c r="K100" s="618"/>
      <c r="L100" s="618"/>
      <c r="M100" s="618"/>
      <c r="N100" s="618"/>
      <c r="O100" s="618"/>
      <c r="P100" s="618"/>
      <c r="Q100" s="618"/>
      <c r="R100" s="618"/>
      <c r="S100" s="618"/>
      <c r="T100" s="618"/>
      <c r="U100" s="618"/>
      <c r="V100" s="618"/>
      <c r="W100" s="618"/>
      <c r="X100" s="618"/>
      <c r="Y100" s="618"/>
      <c r="Z100" s="618"/>
    </row>
    <row r="101" spans="1:26" ht="15.75" customHeight="1">
      <c r="A101" s="617"/>
      <c r="B101" s="618"/>
      <c r="C101" s="618"/>
      <c r="D101" s="618"/>
      <c r="E101" s="618"/>
      <c r="F101" s="618"/>
      <c r="G101" s="618"/>
      <c r="H101" s="618"/>
      <c r="I101" s="618"/>
      <c r="J101" s="618"/>
      <c r="K101" s="618"/>
      <c r="L101" s="618"/>
      <c r="M101" s="618"/>
      <c r="N101" s="618"/>
      <c r="O101" s="618"/>
      <c r="P101" s="618"/>
      <c r="Q101" s="618"/>
      <c r="R101" s="618"/>
      <c r="S101" s="618"/>
      <c r="T101" s="618"/>
      <c r="U101" s="618"/>
      <c r="V101" s="618"/>
      <c r="W101" s="618"/>
      <c r="X101" s="618"/>
      <c r="Y101" s="618"/>
      <c r="Z101" s="618"/>
    </row>
    <row r="102" spans="1:26" ht="15.75" customHeight="1">
      <c r="A102" s="617"/>
      <c r="B102" s="618"/>
      <c r="C102" s="618"/>
      <c r="D102" s="618"/>
      <c r="E102" s="618"/>
      <c r="F102" s="618"/>
      <c r="G102" s="618"/>
      <c r="H102" s="618"/>
      <c r="I102" s="618"/>
      <c r="J102" s="618"/>
      <c r="K102" s="618"/>
      <c r="L102" s="618"/>
      <c r="M102" s="618"/>
      <c r="N102" s="618"/>
      <c r="O102" s="618"/>
      <c r="P102" s="618"/>
      <c r="Q102" s="618"/>
      <c r="R102" s="618"/>
      <c r="S102" s="618"/>
      <c r="T102" s="618"/>
      <c r="U102" s="618"/>
      <c r="V102" s="618"/>
      <c r="W102" s="618"/>
      <c r="X102" s="618"/>
      <c r="Y102" s="618"/>
      <c r="Z102" s="618"/>
    </row>
    <row r="103" spans="1:26" ht="15.75" customHeight="1">
      <c r="A103" s="617"/>
      <c r="B103" s="618"/>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row>
    <row r="104" spans="1:26" ht="15.75" customHeight="1">
      <c r="A104" s="617"/>
      <c r="B104" s="618"/>
      <c r="C104" s="618"/>
      <c r="D104" s="618"/>
      <c r="E104" s="618"/>
      <c r="F104" s="618"/>
      <c r="G104" s="618"/>
      <c r="H104" s="618"/>
      <c r="I104" s="618"/>
      <c r="J104" s="618"/>
      <c r="K104" s="618"/>
      <c r="L104" s="618"/>
      <c r="M104" s="618"/>
      <c r="N104" s="618"/>
      <c r="O104" s="618"/>
      <c r="P104" s="618"/>
      <c r="Q104" s="618"/>
      <c r="R104" s="618"/>
      <c r="S104" s="618"/>
      <c r="T104" s="618"/>
      <c r="U104" s="618"/>
      <c r="V104" s="618"/>
      <c r="W104" s="618"/>
      <c r="X104" s="618"/>
      <c r="Y104" s="618"/>
      <c r="Z104" s="618"/>
    </row>
    <row r="105" spans="1:26" ht="15.75" customHeight="1">
      <c r="A105" s="617"/>
      <c r="B105" s="618"/>
      <c r="C105" s="618"/>
      <c r="D105" s="618"/>
      <c r="E105" s="618"/>
      <c r="F105" s="618"/>
      <c r="G105" s="618"/>
      <c r="H105" s="618"/>
      <c r="I105" s="618"/>
      <c r="J105" s="618"/>
      <c r="K105" s="618"/>
      <c r="L105" s="618"/>
      <c r="M105" s="618"/>
      <c r="N105" s="618"/>
      <c r="O105" s="618"/>
      <c r="P105" s="618"/>
      <c r="Q105" s="618"/>
      <c r="R105" s="618"/>
      <c r="S105" s="618"/>
      <c r="T105" s="618"/>
      <c r="U105" s="618"/>
      <c r="V105" s="618"/>
      <c r="W105" s="618"/>
      <c r="X105" s="618"/>
      <c r="Y105" s="618"/>
      <c r="Z105" s="618"/>
    </row>
    <row r="106" spans="1:26" ht="15.75" customHeight="1">
      <c r="A106" s="617"/>
      <c r="B106" s="618"/>
      <c r="C106" s="618"/>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row>
    <row r="107" spans="1:26" ht="15.75" customHeight="1">
      <c r="A107" s="617"/>
      <c r="B107" s="618"/>
      <c r="C107" s="618"/>
      <c r="D107" s="618"/>
      <c r="E107" s="618"/>
      <c r="F107" s="618"/>
      <c r="G107" s="618"/>
      <c r="H107" s="618"/>
      <c r="I107" s="618"/>
      <c r="J107" s="618"/>
      <c r="K107" s="618"/>
      <c r="L107" s="618"/>
      <c r="M107" s="618"/>
      <c r="N107" s="618"/>
      <c r="O107" s="618"/>
      <c r="P107" s="618"/>
      <c r="Q107" s="618"/>
      <c r="R107" s="618"/>
      <c r="S107" s="618"/>
      <c r="T107" s="618"/>
      <c r="U107" s="618"/>
      <c r="V107" s="618"/>
      <c r="W107" s="618"/>
      <c r="X107" s="618"/>
      <c r="Y107" s="618"/>
      <c r="Z107" s="618"/>
    </row>
    <row r="108" spans="1:26" ht="15.75" customHeight="1">
      <c r="A108" s="617"/>
      <c r="B108" s="618"/>
      <c r="C108" s="618"/>
      <c r="D108" s="618"/>
      <c r="E108" s="618"/>
      <c r="F108" s="618"/>
      <c r="G108" s="618"/>
      <c r="H108" s="618"/>
      <c r="I108" s="618"/>
      <c r="J108" s="618"/>
      <c r="K108" s="618"/>
      <c r="L108" s="618"/>
      <c r="M108" s="618"/>
      <c r="N108" s="618"/>
      <c r="O108" s="618"/>
      <c r="P108" s="618"/>
      <c r="Q108" s="618"/>
      <c r="R108" s="618"/>
      <c r="S108" s="618"/>
      <c r="T108" s="618"/>
      <c r="U108" s="618"/>
      <c r="V108" s="618"/>
      <c r="W108" s="618"/>
      <c r="X108" s="618"/>
      <c r="Y108" s="618"/>
      <c r="Z108" s="618"/>
    </row>
    <row r="109" spans="1:26" ht="15.75" customHeight="1">
      <c r="A109" s="617"/>
      <c r="B109" s="618"/>
      <c r="C109" s="618"/>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row>
    <row r="110" spans="1:26" ht="15.75" customHeight="1">
      <c r="A110" s="617"/>
      <c r="B110" s="618"/>
      <c r="C110" s="618"/>
      <c r="D110" s="618"/>
      <c r="E110" s="618"/>
      <c r="F110" s="618"/>
      <c r="G110" s="618"/>
      <c r="H110" s="618"/>
      <c r="I110" s="618"/>
      <c r="J110" s="618"/>
      <c r="K110" s="618"/>
      <c r="L110" s="618"/>
      <c r="M110" s="618"/>
      <c r="N110" s="618"/>
      <c r="O110" s="618"/>
      <c r="P110" s="618"/>
      <c r="Q110" s="618"/>
      <c r="R110" s="618"/>
      <c r="S110" s="618"/>
      <c r="T110" s="618"/>
      <c r="U110" s="618"/>
      <c r="V110" s="618"/>
      <c r="W110" s="618"/>
      <c r="X110" s="618"/>
      <c r="Y110" s="618"/>
      <c r="Z110" s="618"/>
    </row>
    <row r="111" spans="1:26" ht="15.75" customHeight="1">
      <c r="A111" s="617"/>
      <c r="B111" s="618"/>
      <c r="C111" s="618"/>
      <c r="D111" s="618"/>
      <c r="E111" s="618"/>
      <c r="F111" s="618"/>
      <c r="G111" s="618"/>
      <c r="H111" s="618"/>
      <c r="I111" s="618"/>
      <c r="J111" s="618"/>
      <c r="K111" s="618"/>
      <c r="L111" s="618"/>
      <c r="M111" s="618"/>
      <c r="N111" s="618"/>
      <c r="O111" s="618"/>
      <c r="P111" s="618"/>
      <c r="Q111" s="618"/>
      <c r="R111" s="618"/>
      <c r="S111" s="618"/>
      <c r="T111" s="618"/>
      <c r="U111" s="618"/>
      <c r="V111" s="618"/>
      <c r="W111" s="618"/>
      <c r="X111" s="618"/>
      <c r="Y111" s="618"/>
      <c r="Z111" s="618"/>
    </row>
    <row r="112" spans="1:26" ht="15.75" customHeight="1">
      <c r="A112" s="617"/>
      <c r="B112" s="618"/>
      <c r="C112" s="618"/>
      <c r="D112" s="618"/>
      <c r="E112" s="618"/>
      <c r="F112" s="618"/>
      <c r="G112" s="618"/>
      <c r="H112" s="618"/>
      <c r="I112" s="618"/>
      <c r="J112" s="618"/>
      <c r="K112" s="618"/>
      <c r="L112" s="618"/>
      <c r="M112" s="618"/>
      <c r="N112" s="618"/>
      <c r="O112" s="618"/>
      <c r="P112" s="618"/>
      <c r="Q112" s="618"/>
      <c r="R112" s="618"/>
      <c r="S112" s="618"/>
      <c r="T112" s="618"/>
      <c r="U112" s="618"/>
      <c r="V112" s="618"/>
      <c r="W112" s="618"/>
      <c r="X112" s="618"/>
      <c r="Y112" s="618"/>
      <c r="Z112" s="618"/>
    </row>
    <row r="113" spans="1:26" ht="15.75" customHeight="1">
      <c r="A113" s="617"/>
      <c r="B113" s="618"/>
      <c r="C113" s="618"/>
      <c r="D113" s="618"/>
      <c r="E113" s="618"/>
      <c r="F113" s="618"/>
      <c r="G113" s="618"/>
      <c r="H113" s="618"/>
      <c r="I113" s="618"/>
      <c r="J113" s="618"/>
      <c r="K113" s="618"/>
      <c r="L113" s="618"/>
      <c r="M113" s="618"/>
      <c r="N113" s="618"/>
      <c r="O113" s="618"/>
      <c r="P113" s="618"/>
      <c r="Q113" s="618"/>
      <c r="R113" s="618"/>
      <c r="S113" s="618"/>
      <c r="T113" s="618"/>
      <c r="U113" s="618"/>
      <c r="V113" s="618"/>
      <c r="W113" s="618"/>
      <c r="X113" s="618"/>
      <c r="Y113" s="618"/>
      <c r="Z113" s="618"/>
    </row>
    <row r="114" spans="1:26" ht="15.75" customHeight="1">
      <c r="A114" s="617"/>
      <c r="B114" s="618"/>
      <c r="C114" s="618"/>
      <c r="D114" s="618"/>
      <c r="E114" s="618"/>
      <c r="F114" s="618"/>
      <c r="G114" s="618"/>
      <c r="H114" s="618"/>
      <c r="I114" s="618"/>
      <c r="J114" s="618"/>
      <c r="K114" s="618"/>
      <c r="L114" s="618"/>
      <c r="M114" s="618"/>
      <c r="N114" s="618"/>
      <c r="O114" s="618"/>
      <c r="P114" s="618"/>
      <c r="Q114" s="618"/>
      <c r="R114" s="618"/>
      <c r="S114" s="618"/>
      <c r="T114" s="618"/>
      <c r="U114" s="618"/>
      <c r="V114" s="618"/>
      <c r="W114" s="618"/>
      <c r="X114" s="618"/>
      <c r="Y114" s="618"/>
      <c r="Z114" s="618"/>
    </row>
    <row r="115" spans="1:26" ht="15.75" customHeight="1">
      <c r="A115" s="617"/>
      <c r="B115" s="618"/>
      <c r="C115" s="618"/>
      <c r="D115" s="618"/>
      <c r="E115" s="618"/>
      <c r="F115" s="618"/>
      <c r="G115" s="618"/>
      <c r="H115" s="618"/>
      <c r="I115" s="618"/>
      <c r="J115" s="618"/>
      <c r="K115" s="618"/>
      <c r="L115" s="618"/>
      <c r="M115" s="618"/>
      <c r="N115" s="618"/>
      <c r="O115" s="618"/>
      <c r="P115" s="618"/>
      <c r="Q115" s="618"/>
      <c r="R115" s="618"/>
      <c r="S115" s="618"/>
      <c r="T115" s="618"/>
      <c r="U115" s="618"/>
      <c r="V115" s="618"/>
      <c r="W115" s="618"/>
      <c r="X115" s="618"/>
      <c r="Y115" s="618"/>
      <c r="Z115" s="618"/>
    </row>
    <row r="116" spans="1:26" ht="15.75" customHeight="1">
      <c r="A116" s="617"/>
      <c r="B116" s="618"/>
      <c r="C116" s="618"/>
      <c r="D116" s="618"/>
      <c r="E116" s="618"/>
      <c r="F116" s="618"/>
      <c r="G116" s="618"/>
      <c r="H116" s="618"/>
      <c r="I116" s="618"/>
      <c r="J116" s="618"/>
      <c r="K116" s="618"/>
      <c r="L116" s="618"/>
      <c r="M116" s="618"/>
      <c r="N116" s="618"/>
      <c r="O116" s="618"/>
      <c r="P116" s="618"/>
      <c r="Q116" s="618"/>
      <c r="R116" s="618"/>
      <c r="S116" s="618"/>
      <c r="T116" s="618"/>
      <c r="U116" s="618"/>
      <c r="V116" s="618"/>
      <c r="W116" s="618"/>
      <c r="X116" s="618"/>
      <c r="Y116" s="618"/>
      <c r="Z116" s="618"/>
    </row>
    <row r="117" spans="1:26" ht="15.75" customHeight="1">
      <c r="A117" s="617"/>
      <c r="B117" s="618"/>
      <c r="C117" s="618"/>
      <c r="D117" s="618"/>
      <c r="E117" s="618"/>
      <c r="F117" s="618"/>
      <c r="G117" s="618"/>
      <c r="H117" s="618"/>
      <c r="I117" s="618"/>
      <c r="J117" s="618"/>
      <c r="K117" s="618"/>
      <c r="L117" s="618"/>
      <c r="M117" s="618"/>
      <c r="N117" s="618"/>
      <c r="O117" s="618"/>
      <c r="P117" s="618"/>
      <c r="Q117" s="618"/>
      <c r="R117" s="618"/>
      <c r="S117" s="618"/>
      <c r="T117" s="618"/>
      <c r="U117" s="618"/>
      <c r="V117" s="618"/>
      <c r="W117" s="618"/>
      <c r="X117" s="618"/>
      <c r="Y117" s="618"/>
      <c r="Z117" s="618"/>
    </row>
    <row r="118" spans="1:26" ht="15.75" customHeight="1">
      <c r="A118" s="617"/>
      <c r="B118" s="618"/>
      <c r="C118" s="618"/>
      <c r="D118" s="618"/>
      <c r="E118" s="618"/>
      <c r="F118" s="618"/>
      <c r="G118" s="618"/>
      <c r="H118" s="618"/>
      <c r="I118" s="618"/>
      <c r="J118" s="618"/>
      <c r="K118" s="618"/>
      <c r="L118" s="618"/>
      <c r="M118" s="618"/>
      <c r="N118" s="618"/>
      <c r="O118" s="618"/>
      <c r="P118" s="618"/>
      <c r="Q118" s="618"/>
      <c r="R118" s="618"/>
      <c r="S118" s="618"/>
      <c r="T118" s="618"/>
      <c r="U118" s="618"/>
      <c r="V118" s="618"/>
      <c r="W118" s="618"/>
      <c r="X118" s="618"/>
      <c r="Y118" s="618"/>
      <c r="Z118" s="618"/>
    </row>
    <row r="119" spans="1:26" ht="15.75" customHeight="1">
      <c r="A119" s="617"/>
      <c r="B119" s="618"/>
      <c r="C119" s="618"/>
      <c r="D119" s="618"/>
      <c r="E119" s="618"/>
      <c r="F119" s="618"/>
      <c r="G119" s="618"/>
      <c r="H119" s="618"/>
      <c r="I119" s="618"/>
      <c r="J119" s="618"/>
      <c r="K119" s="618"/>
      <c r="L119" s="618"/>
      <c r="M119" s="618"/>
      <c r="N119" s="618"/>
      <c r="O119" s="618"/>
      <c r="P119" s="618"/>
      <c r="Q119" s="618"/>
      <c r="R119" s="618"/>
      <c r="S119" s="618"/>
      <c r="T119" s="618"/>
      <c r="U119" s="618"/>
      <c r="V119" s="618"/>
      <c r="W119" s="618"/>
      <c r="X119" s="618"/>
      <c r="Y119" s="618"/>
      <c r="Z119" s="618"/>
    </row>
    <row r="120" spans="1:26" ht="15.75" customHeight="1">
      <c r="A120" s="617"/>
      <c r="B120" s="618"/>
      <c r="C120" s="618"/>
      <c r="D120" s="618"/>
      <c r="E120" s="618"/>
      <c r="F120" s="618"/>
      <c r="G120" s="618"/>
      <c r="H120" s="618"/>
      <c r="I120" s="618"/>
      <c r="J120" s="618"/>
      <c r="K120" s="618"/>
      <c r="L120" s="618"/>
      <c r="M120" s="618"/>
      <c r="N120" s="618"/>
      <c r="O120" s="618"/>
      <c r="P120" s="618"/>
      <c r="Q120" s="618"/>
      <c r="R120" s="618"/>
      <c r="S120" s="618"/>
      <c r="T120" s="618"/>
      <c r="U120" s="618"/>
      <c r="V120" s="618"/>
      <c r="W120" s="618"/>
      <c r="X120" s="618"/>
      <c r="Y120" s="618"/>
      <c r="Z120" s="618"/>
    </row>
    <row r="121" spans="1:26" ht="15.75" customHeight="1">
      <c r="A121" s="617"/>
      <c r="B121" s="618"/>
      <c r="C121" s="618"/>
      <c r="D121" s="618"/>
      <c r="E121" s="618"/>
      <c r="F121" s="618"/>
      <c r="G121" s="618"/>
      <c r="H121" s="618"/>
      <c r="I121" s="618"/>
      <c r="J121" s="618"/>
      <c r="K121" s="618"/>
      <c r="L121" s="618"/>
      <c r="M121" s="618"/>
      <c r="N121" s="618"/>
      <c r="O121" s="618"/>
      <c r="P121" s="618"/>
      <c r="Q121" s="618"/>
      <c r="R121" s="618"/>
      <c r="S121" s="618"/>
      <c r="T121" s="618"/>
      <c r="U121" s="618"/>
      <c r="V121" s="618"/>
      <c r="W121" s="618"/>
      <c r="X121" s="618"/>
      <c r="Y121" s="618"/>
      <c r="Z121" s="618"/>
    </row>
    <row r="122" spans="1:26" ht="15.75" customHeight="1">
      <c r="A122" s="617"/>
      <c r="B122" s="618"/>
      <c r="C122" s="618"/>
      <c r="D122" s="618"/>
      <c r="E122" s="618"/>
      <c r="F122" s="618"/>
      <c r="G122" s="618"/>
      <c r="H122" s="618"/>
      <c r="I122" s="618"/>
      <c r="J122" s="618"/>
      <c r="K122" s="618"/>
      <c r="L122" s="618"/>
      <c r="M122" s="618"/>
      <c r="N122" s="618"/>
      <c r="O122" s="618"/>
      <c r="P122" s="618"/>
      <c r="Q122" s="618"/>
      <c r="R122" s="618"/>
      <c r="S122" s="618"/>
      <c r="T122" s="618"/>
      <c r="U122" s="618"/>
      <c r="V122" s="618"/>
      <c r="W122" s="618"/>
      <c r="X122" s="618"/>
      <c r="Y122" s="618"/>
      <c r="Z122" s="618"/>
    </row>
    <row r="123" spans="1:26" ht="15.75" customHeight="1">
      <c r="A123" s="617"/>
      <c r="B123" s="618"/>
      <c r="C123" s="618"/>
      <c r="D123" s="618"/>
      <c r="E123" s="618"/>
      <c r="F123" s="618"/>
      <c r="G123" s="618"/>
      <c r="H123" s="618"/>
      <c r="I123" s="618"/>
      <c r="J123" s="618"/>
      <c r="K123" s="618"/>
      <c r="L123" s="618"/>
      <c r="M123" s="618"/>
      <c r="N123" s="618"/>
      <c r="O123" s="618"/>
      <c r="P123" s="618"/>
      <c r="Q123" s="618"/>
      <c r="R123" s="618"/>
      <c r="S123" s="618"/>
      <c r="T123" s="618"/>
      <c r="U123" s="618"/>
      <c r="V123" s="618"/>
      <c r="W123" s="618"/>
      <c r="X123" s="618"/>
      <c r="Y123" s="618"/>
      <c r="Z123" s="618"/>
    </row>
    <row r="124" spans="1:26" ht="15.75" customHeight="1">
      <c r="A124" s="617"/>
      <c r="B124" s="618"/>
      <c r="C124" s="618"/>
      <c r="D124" s="618"/>
      <c r="E124" s="618"/>
      <c r="F124" s="618"/>
      <c r="G124" s="618"/>
      <c r="H124" s="618"/>
      <c r="I124" s="618"/>
      <c r="J124" s="618"/>
      <c r="K124" s="618"/>
      <c r="L124" s="618"/>
      <c r="M124" s="618"/>
      <c r="N124" s="618"/>
      <c r="O124" s="618"/>
      <c r="P124" s="618"/>
      <c r="Q124" s="618"/>
      <c r="R124" s="618"/>
      <c r="S124" s="618"/>
      <c r="T124" s="618"/>
      <c r="U124" s="618"/>
      <c r="V124" s="618"/>
      <c r="W124" s="618"/>
      <c r="X124" s="618"/>
      <c r="Y124" s="618"/>
      <c r="Z124" s="618"/>
    </row>
    <row r="125" spans="1:26" ht="15.75" customHeight="1">
      <c r="A125" s="617"/>
      <c r="B125" s="618"/>
      <c r="C125" s="618"/>
      <c r="D125" s="618"/>
      <c r="E125" s="618"/>
      <c r="F125" s="618"/>
      <c r="G125" s="618"/>
      <c r="H125" s="618"/>
      <c r="I125" s="618"/>
      <c r="J125" s="618"/>
      <c r="K125" s="618"/>
      <c r="L125" s="618"/>
      <c r="M125" s="618"/>
      <c r="N125" s="618"/>
      <c r="O125" s="618"/>
      <c r="P125" s="618"/>
      <c r="Q125" s="618"/>
      <c r="R125" s="618"/>
      <c r="S125" s="618"/>
      <c r="T125" s="618"/>
      <c r="U125" s="618"/>
      <c r="V125" s="618"/>
      <c r="W125" s="618"/>
      <c r="X125" s="618"/>
      <c r="Y125" s="618"/>
      <c r="Z125" s="618"/>
    </row>
    <row r="126" spans="1:26" ht="15.75" customHeight="1">
      <c r="A126" s="617"/>
      <c r="B126" s="618"/>
      <c r="C126" s="618"/>
      <c r="D126" s="618"/>
      <c r="E126" s="618"/>
      <c r="F126" s="618"/>
      <c r="G126" s="618"/>
      <c r="H126" s="618"/>
      <c r="I126" s="618"/>
      <c r="J126" s="618"/>
      <c r="K126" s="618"/>
      <c r="L126" s="618"/>
      <c r="M126" s="618"/>
      <c r="N126" s="618"/>
      <c r="O126" s="618"/>
      <c r="P126" s="618"/>
      <c r="Q126" s="618"/>
      <c r="R126" s="618"/>
      <c r="S126" s="618"/>
      <c r="T126" s="618"/>
      <c r="U126" s="618"/>
      <c r="V126" s="618"/>
      <c r="W126" s="618"/>
      <c r="X126" s="618"/>
      <c r="Y126" s="618"/>
      <c r="Z126" s="618"/>
    </row>
    <row r="127" spans="1:26" ht="15.75" customHeight="1">
      <c r="A127" s="617"/>
      <c r="B127" s="618"/>
      <c r="C127" s="618"/>
      <c r="D127" s="618"/>
      <c r="E127" s="618"/>
      <c r="F127" s="618"/>
      <c r="G127" s="618"/>
      <c r="H127" s="618"/>
      <c r="I127" s="618"/>
      <c r="J127" s="618"/>
      <c r="K127" s="618"/>
      <c r="L127" s="618"/>
      <c r="M127" s="618"/>
      <c r="N127" s="618"/>
      <c r="O127" s="618"/>
      <c r="P127" s="618"/>
      <c r="Q127" s="618"/>
      <c r="R127" s="618"/>
      <c r="S127" s="618"/>
      <c r="T127" s="618"/>
      <c r="U127" s="618"/>
      <c r="V127" s="618"/>
      <c r="W127" s="618"/>
      <c r="X127" s="618"/>
      <c r="Y127" s="618"/>
      <c r="Z127" s="618"/>
    </row>
    <row r="128" spans="1:26" ht="15.75" customHeight="1">
      <c r="A128" s="617"/>
      <c r="B128" s="618"/>
      <c r="C128" s="618"/>
      <c r="D128" s="618"/>
      <c r="E128" s="618"/>
      <c r="F128" s="618"/>
      <c r="G128" s="618"/>
      <c r="H128" s="618"/>
      <c r="I128" s="618"/>
      <c r="J128" s="618"/>
      <c r="K128" s="618"/>
      <c r="L128" s="618"/>
      <c r="M128" s="618"/>
      <c r="N128" s="618"/>
      <c r="O128" s="618"/>
      <c r="P128" s="618"/>
      <c r="Q128" s="618"/>
      <c r="R128" s="618"/>
      <c r="S128" s="618"/>
      <c r="T128" s="618"/>
      <c r="U128" s="618"/>
      <c r="V128" s="618"/>
      <c r="W128" s="618"/>
      <c r="X128" s="618"/>
      <c r="Y128" s="618"/>
      <c r="Z128" s="618"/>
    </row>
    <row r="129" spans="1:26" ht="15.75" customHeight="1">
      <c r="A129" s="617"/>
      <c r="B129" s="618"/>
      <c r="C129" s="618"/>
      <c r="D129" s="618"/>
      <c r="E129" s="618"/>
      <c r="F129" s="618"/>
      <c r="G129" s="618"/>
      <c r="H129" s="618"/>
      <c r="I129" s="618"/>
      <c r="J129" s="618"/>
      <c r="K129" s="618"/>
      <c r="L129" s="618"/>
      <c r="M129" s="618"/>
      <c r="N129" s="618"/>
      <c r="O129" s="618"/>
      <c r="P129" s="618"/>
      <c r="Q129" s="618"/>
      <c r="R129" s="618"/>
      <c r="S129" s="618"/>
      <c r="T129" s="618"/>
      <c r="U129" s="618"/>
      <c r="V129" s="618"/>
      <c r="W129" s="618"/>
      <c r="X129" s="618"/>
      <c r="Y129" s="618"/>
      <c r="Z129" s="618"/>
    </row>
    <row r="130" spans="1:26" ht="15.75" customHeight="1">
      <c r="A130" s="617"/>
      <c r="B130" s="618"/>
      <c r="C130" s="618"/>
      <c r="D130" s="618"/>
      <c r="E130" s="618"/>
      <c r="F130" s="618"/>
      <c r="G130" s="618"/>
      <c r="H130" s="618"/>
      <c r="I130" s="618"/>
      <c r="J130" s="618"/>
      <c r="K130" s="618"/>
      <c r="L130" s="618"/>
      <c r="M130" s="618"/>
      <c r="N130" s="618"/>
      <c r="O130" s="618"/>
      <c r="P130" s="618"/>
      <c r="Q130" s="618"/>
      <c r="R130" s="618"/>
      <c r="S130" s="618"/>
      <c r="T130" s="618"/>
      <c r="U130" s="618"/>
      <c r="V130" s="618"/>
      <c r="W130" s="618"/>
      <c r="X130" s="618"/>
      <c r="Y130" s="618"/>
      <c r="Z130" s="618"/>
    </row>
    <row r="131" spans="1:26" ht="15.75" customHeight="1">
      <c r="A131" s="617"/>
      <c r="B131" s="618"/>
      <c r="C131" s="618"/>
      <c r="D131" s="618"/>
      <c r="E131" s="618"/>
      <c r="F131" s="618"/>
      <c r="G131" s="618"/>
      <c r="H131" s="618"/>
      <c r="I131" s="618"/>
      <c r="J131" s="618"/>
      <c r="K131" s="618"/>
      <c r="L131" s="618"/>
      <c r="M131" s="618"/>
      <c r="N131" s="618"/>
      <c r="O131" s="618"/>
      <c r="P131" s="618"/>
      <c r="Q131" s="618"/>
      <c r="R131" s="618"/>
      <c r="S131" s="618"/>
      <c r="T131" s="618"/>
      <c r="U131" s="618"/>
      <c r="V131" s="618"/>
      <c r="W131" s="618"/>
      <c r="X131" s="618"/>
      <c r="Y131" s="618"/>
      <c r="Z131" s="618"/>
    </row>
    <row r="132" spans="1:26" ht="15.75" customHeight="1">
      <c r="A132" s="617"/>
      <c r="B132" s="618"/>
      <c r="C132" s="618"/>
      <c r="D132" s="618"/>
      <c r="E132" s="618"/>
      <c r="F132" s="618"/>
      <c r="G132" s="618"/>
      <c r="H132" s="618"/>
      <c r="I132" s="618"/>
      <c r="J132" s="618"/>
      <c r="K132" s="618"/>
      <c r="L132" s="618"/>
      <c r="M132" s="618"/>
      <c r="N132" s="618"/>
      <c r="O132" s="618"/>
      <c r="P132" s="618"/>
      <c r="Q132" s="618"/>
      <c r="R132" s="618"/>
      <c r="S132" s="618"/>
      <c r="T132" s="618"/>
      <c r="U132" s="618"/>
      <c r="V132" s="618"/>
      <c r="W132" s="618"/>
      <c r="X132" s="618"/>
      <c r="Y132" s="618"/>
      <c r="Z132" s="618"/>
    </row>
    <row r="133" spans="1:26" ht="15.75" customHeight="1">
      <c r="A133" s="617"/>
      <c r="B133" s="618"/>
      <c r="C133" s="618"/>
      <c r="D133" s="618"/>
      <c r="E133" s="618"/>
      <c r="F133" s="618"/>
      <c r="G133" s="618"/>
      <c r="H133" s="618"/>
      <c r="I133" s="618"/>
      <c r="J133" s="618"/>
      <c r="K133" s="618"/>
      <c r="L133" s="618"/>
      <c r="M133" s="618"/>
      <c r="N133" s="618"/>
      <c r="O133" s="618"/>
      <c r="P133" s="618"/>
      <c r="Q133" s="618"/>
      <c r="R133" s="618"/>
      <c r="S133" s="618"/>
      <c r="T133" s="618"/>
      <c r="U133" s="618"/>
      <c r="V133" s="618"/>
      <c r="W133" s="618"/>
      <c r="X133" s="618"/>
      <c r="Y133" s="618"/>
      <c r="Z133" s="618"/>
    </row>
    <row r="134" spans="1:26" ht="15.75" customHeight="1">
      <c r="A134" s="617"/>
      <c r="B134" s="618"/>
      <c r="C134" s="618"/>
      <c r="D134" s="618"/>
      <c r="E134" s="618"/>
      <c r="F134" s="618"/>
      <c r="G134" s="618"/>
      <c r="H134" s="618"/>
      <c r="I134" s="618"/>
      <c r="J134" s="618"/>
      <c r="K134" s="618"/>
      <c r="L134" s="618"/>
      <c r="M134" s="618"/>
      <c r="N134" s="618"/>
      <c r="O134" s="618"/>
      <c r="P134" s="618"/>
      <c r="Q134" s="618"/>
      <c r="R134" s="618"/>
      <c r="S134" s="618"/>
      <c r="T134" s="618"/>
      <c r="U134" s="618"/>
      <c r="V134" s="618"/>
      <c r="W134" s="618"/>
      <c r="X134" s="618"/>
      <c r="Y134" s="618"/>
      <c r="Z134" s="618"/>
    </row>
    <row r="135" spans="1:26" ht="15.75" customHeight="1">
      <c r="A135" s="617"/>
      <c r="B135" s="618"/>
      <c r="C135" s="618"/>
      <c r="D135" s="618"/>
      <c r="E135" s="618"/>
      <c r="F135" s="618"/>
      <c r="G135" s="618"/>
      <c r="H135" s="618"/>
      <c r="I135" s="618"/>
      <c r="J135" s="618"/>
      <c r="K135" s="618"/>
      <c r="L135" s="618"/>
      <c r="M135" s="618"/>
      <c r="N135" s="618"/>
      <c r="O135" s="618"/>
      <c r="P135" s="618"/>
      <c r="Q135" s="618"/>
      <c r="R135" s="618"/>
      <c r="S135" s="618"/>
      <c r="T135" s="618"/>
      <c r="U135" s="618"/>
      <c r="V135" s="618"/>
      <c r="W135" s="618"/>
      <c r="X135" s="618"/>
      <c r="Y135" s="618"/>
      <c r="Z135" s="618"/>
    </row>
    <row r="136" spans="1:26" ht="15.75" customHeight="1">
      <c r="A136" s="617"/>
      <c r="B136" s="618"/>
      <c r="C136" s="618"/>
      <c r="D136" s="618"/>
      <c r="E136" s="618"/>
      <c r="F136" s="618"/>
      <c r="G136" s="618"/>
      <c r="H136" s="618"/>
      <c r="I136" s="618"/>
      <c r="J136" s="618"/>
      <c r="K136" s="618"/>
      <c r="L136" s="618"/>
      <c r="M136" s="618"/>
      <c r="N136" s="618"/>
      <c r="O136" s="618"/>
      <c r="P136" s="618"/>
      <c r="Q136" s="618"/>
      <c r="R136" s="618"/>
      <c r="S136" s="618"/>
      <c r="T136" s="618"/>
      <c r="U136" s="618"/>
      <c r="V136" s="618"/>
      <c r="W136" s="618"/>
      <c r="X136" s="618"/>
      <c r="Y136" s="618"/>
      <c r="Z136" s="618"/>
    </row>
    <row r="137" spans="1:26" ht="15.75" customHeight="1">
      <c r="A137" s="617"/>
      <c r="B137" s="618"/>
      <c r="C137" s="618"/>
      <c r="D137" s="618"/>
      <c r="E137" s="618"/>
      <c r="F137" s="618"/>
      <c r="G137" s="618"/>
      <c r="H137" s="618"/>
      <c r="I137" s="618"/>
      <c r="J137" s="618"/>
      <c r="K137" s="618"/>
      <c r="L137" s="618"/>
      <c r="M137" s="618"/>
      <c r="N137" s="618"/>
      <c r="O137" s="618"/>
      <c r="P137" s="618"/>
      <c r="Q137" s="618"/>
      <c r="R137" s="618"/>
      <c r="S137" s="618"/>
      <c r="T137" s="618"/>
      <c r="U137" s="618"/>
      <c r="V137" s="618"/>
      <c r="W137" s="618"/>
      <c r="X137" s="618"/>
      <c r="Y137" s="618"/>
      <c r="Z137" s="618"/>
    </row>
    <row r="138" spans="1:26" ht="15.75" customHeight="1">
      <c r="A138" s="617"/>
      <c r="B138" s="618"/>
      <c r="C138" s="618"/>
      <c r="D138" s="618"/>
      <c r="E138" s="618"/>
      <c r="F138" s="618"/>
      <c r="G138" s="618"/>
      <c r="H138" s="618"/>
      <c r="I138" s="618"/>
      <c r="J138" s="618"/>
      <c r="K138" s="618"/>
      <c r="L138" s="618"/>
      <c r="M138" s="618"/>
      <c r="N138" s="618"/>
      <c r="O138" s="618"/>
      <c r="P138" s="618"/>
      <c r="Q138" s="618"/>
      <c r="R138" s="618"/>
      <c r="S138" s="618"/>
      <c r="T138" s="618"/>
      <c r="U138" s="618"/>
      <c r="V138" s="618"/>
      <c r="W138" s="618"/>
      <c r="X138" s="618"/>
      <c r="Y138" s="618"/>
      <c r="Z138" s="618"/>
    </row>
    <row r="139" spans="1:26" ht="15.75" customHeight="1">
      <c r="A139" s="617"/>
      <c r="B139" s="618"/>
      <c r="C139" s="618"/>
      <c r="D139" s="618"/>
      <c r="E139" s="618"/>
      <c r="F139" s="618"/>
      <c r="G139" s="618"/>
      <c r="H139" s="618"/>
      <c r="I139" s="618"/>
      <c r="J139" s="618"/>
      <c r="K139" s="618"/>
      <c r="L139" s="618"/>
      <c r="M139" s="618"/>
      <c r="N139" s="618"/>
      <c r="O139" s="618"/>
      <c r="P139" s="618"/>
      <c r="Q139" s="618"/>
      <c r="R139" s="618"/>
      <c r="S139" s="618"/>
      <c r="T139" s="618"/>
      <c r="U139" s="618"/>
      <c r="V139" s="618"/>
      <c r="W139" s="618"/>
      <c r="X139" s="618"/>
      <c r="Y139" s="618"/>
      <c r="Z139" s="618"/>
    </row>
    <row r="140" spans="1:26" ht="15.75" customHeight="1">
      <c r="A140" s="617"/>
      <c r="B140" s="618"/>
      <c r="C140" s="618"/>
      <c r="D140" s="618"/>
      <c r="E140" s="618"/>
      <c r="F140" s="618"/>
      <c r="G140" s="618"/>
      <c r="H140" s="618"/>
      <c r="I140" s="618"/>
      <c r="J140" s="618"/>
      <c r="K140" s="618"/>
      <c r="L140" s="618"/>
      <c r="M140" s="618"/>
      <c r="N140" s="618"/>
      <c r="O140" s="618"/>
      <c r="P140" s="618"/>
      <c r="Q140" s="618"/>
      <c r="R140" s="618"/>
      <c r="S140" s="618"/>
      <c r="T140" s="618"/>
      <c r="U140" s="618"/>
      <c r="V140" s="618"/>
      <c r="W140" s="618"/>
      <c r="X140" s="618"/>
      <c r="Y140" s="618"/>
      <c r="Z140" s="618"/>
    </row>
    <row r="141" spans="1:26" ht="15.75" customHeight="1">
      <c r="A141" s="617"/>
      <c r="B141" s="618"/>
      <c r="C141" s="618"/>
      <c r="D141" s="618"/>
      <c r="E141" s="618"/>
      <c r="F141" s="618"/>
      <c r="G141" s="618"/>
      <c r="H141" s="618"/>
      <c r="I141" s="618"/>
      <c r="J141" s="618"/>
      <c r="K141" s="618"/>
      <c r="L141" s="618"/>
      <c r="M141" s="618"/>
      <c r="N141" s="618"/>
      <c r="O141" s="618"/>
      <c r="P141" s="618"/>
      <c r="Q141" s="618"/>
      <c r="R141" s="618"/>
      <c r="S141" s="618"/>
      <c r="T141" s="618"/>
      <c r="U141" s="618"/>
      <c r="V141" s="618"/>
      <c r="W141" s="618"/>
      <c r="X141" s="618"/>
      <c r="Y141" s="618"/>
      <c r="Z141" s="618"/>
    </row>
    <row r="142" spans="1:26" ht="15.75" customHeight="1">
      <c r="A142" s="617"/>
      <c r="B142" s="618"/>
      <c r="C142" s="618"/>
      <c r="D142" s="618"/>
      <c r="E142" s="618"/>
      <c r="F142" s="618"/>
      <c r="G142" s="618"/>
      <c r="H142" s="618"/>
      <c r="I142" s="618"/>
      <c r="J142" s="618"/>
      <c r="K142" s="618"/>
      <c r="L142" s="618"/>
      <c r="M142" s="618"/>
      <c r="N142" s="618"/>
      <c r="O142" s="618"/>
      <c r="P142" s="618"/>
      <c r="Q142" s="618"/>
      <c r="R142" s="618"/>
      <c r="S142" s="618"/>
      <c r="T142" s="618"/>
      <c r="U142" s="618"/>
      <c r="V142" s="618"/>
      <c r="W142" s="618"/>
      <c r="X142" s="618"/>
      <c r="Y142" s="618"/>
      <c r="Z142" s="618"/>
    </row>
    <row r="143" spans="1:26" ht="15.75" customHeight="1">
      <c r="A143" s="617"/>
      <c r="B143" s="618"/>
      <c r="C143" s="618"/>
      <c r="D143" s="618"/>
      <c r="E143" s="618"/>
      <c r="F143" s="618"/>
      <c r="G143" s="618"/>
      <c r="H143" s="618"/>
      <c r="I143" s="618"/>
      <c r="J143" s="618"/>
      <c r="K143" s="618"/>
      <c r="L143" s="618"/>
      <c r="M143" s="618"/>
      <c r="N143" s="618"/>
      <c r="O143" s="618"/>
      <c r="P143" s="618"/>
      <c r="Q143" s="618"/>
      <c r="R143" s="618"/>
      <c r="S143" s="618"/>
      <c r="T143" s="618"/>
      <c r="U143" s="618"/>
      <c r="V143" s="618"/>
      <c r="W143" s="618"/>
      <c r="X143" s="618"/>
      <c r="Y143" s="618"/>
      <c r="Z143" s="618"/>
    </row>
    <row r="144" spans="1:26" ht="15.75" customHeight="1">
      <c r="A144" s="617"/>
      <c r="B144" s="618"/>
      <c r="C144" s="618"/>
      <c r="D144" s="618"/>
      <c r="E144" s="618"/>
      <c r="F144" s="618"/>
      <c r="G144" s="618"/>
      <c r="H144" s="618"/>
      <c r="I144" s="618"/>
      <c r="J144" s="618"/>
      <c r="K144" s="618"/>
      <c r="L144" s="618"/>
      <c r="M144" s="618"/>
      <c r="N144" s="618"/>
      <c r="O144" s="618"/>
      <c r="P144" s="618"/>
      <c r="Q144" s="618"/>
      <c r="R144" s="618"/>
      <c r="S144" s="618"/>
      <c r="T144" s="618"/>
      <c r="U144" s="618"/>
      <c r="V144" s="618"/>
      <c r="W144" s="618"/>
      <c r="X144" s="618"/>
      <c r="Y144" s="618"/>
      <c r="Z144" s="618"/>
    </row>
    <row r="145" spans="1:26" ht="15.75" customHeight="1">
      <c r="A145" s="617"/>
      <c r="B145" s="618"/>
      <c r="C145" s="618"/>
      <c r="D145" s="618"/>
      <c r="E145" s="618"/>
      <c r="F145" s="618"/>
      <c r="G145" s="618"/>
      <c r="H145" s="618"/>
      <c r="I145" s="618"/>
      <c r="J145" s="618"/>
      <c r="K145" s="618"/>
      <c r="L145" s="618"/>
      <c r="M145" s="618"/>
      <c r="N145" s="618"/>
      <c r="O145" s="618"/>
      <c r="P145" s="618"/>
      <c r="Q145" s="618"/>
      <c r="R145" s="618"/>
      <c r="S145" s="618"/>
      <c r="T145" s="618"/>
      <c r="U145" s="618"/>
      <c r="V145" s="618"/>
      <c r="W145" s="618"/>
      <c r="X145" s="618"/>
      <c r="Y145" s="618"/>
      <c r="Z145" s="618"/>
    </row>
    <row r="146" spans="1:26" ht="15.75" customHeight="1">
      <c r="A146" s="617"/>
      <c r="B146" s="618"/>
      <c r="C146" s="618"/>
      <c r="D146" s="618"/>
      <c r="E146" s="618"/>
      <c r="F146" s="618"/>
      <c r="G146" s="618"/>
      <c r="H146" s="618"/>
      <c r="I146" s="618"/>
      <c r="J146" s="618"/>
      <c r="K146" s="618"/>
      <c r="L146" s="618"/>
      <c r="M146" s="618"/>
      <c r="N146" s="618"/>
      <c r="O146" s="618"/>
      <c r="P146" s="618"/>
      <c r="Q146" s="618"/>
      <c r="R146" s="618"/>
      <c r="S146" s="618"/>
      <c r="T146" s="618"/>
      <c r="U146" s="618"/>
      <c r="V146" s="618"/>
      <c r="W146" s="618"/>
      <c r="X146" s="618"/>
      <c r="Y146" s="618"/>
      <c r="Z146" s="618"/>
    </row>
    <row r="147" spans="1:26" ht="15.75" customHeight="1">
      <c r="A147" s="617"/>
      <c r="B147" s="618"/>
      <c r="C147" s="618"/>
      <c r="D147" s="618"/>
      <c r="E147" s="618"/>
      <c r="F147" s="618"/>
      <c r="G147" s="618"/>
      <c r="H147" s="618"/>
      <c r="I147" s="618"/>
      <c r="J147" s="618"/>
      <c r="K147" s="618"/>
      <c r="L147" s="618"/>
      <c r="M147" s="618"/>
      <c r="N147" s="618"/>
      <c r="O147" s="618"/>
      <c r="P147" s="618"/>
      <c r="Q147" s="618"/>
      <c r="R147" s="618"/>
      <c r="S147" s="618"/>
      <c r="T147" s="618"/>
      <c r="U147" s="618"/>
      <c r="V147" s="618"/>
      <c r="W147" s="618"/>
      <c r="X147" s="618"/>
      <c r="Y147" s="618"/>
      <c r="Z147" s="618"/>
    </row>
    <row r="148" spans="1:26" ht="15.75" customHeight="1">
      <c r="A148" s="617"/>
      <c r="B148" s="618"/>
      <c r="C148" s="618"/>
      <c r="D148" s="618"/>
      <c r="E148" s="618"/>
      <c r="F148" s="618"/>
      <c r="G148" s="618"/>
      <c r="H148" s="618"/>
      <c r="I148" s="618"/>
      <c r="J148" s="618"/>
      <c r="K148" s="618"/>
      <c r="L148" s="618"/>
      <c r="M148" s="618"/>
      <c r="N148" s="618"/>
      <c r="O148" s="618"/>
      <c r="P148" s="618"/>
      <c r="Q148" s="618"/>
      <c r="R148" s="618"/>
      <c r="S148" s="618"/>
      <c r="T148" s="618"/>
      <c r="U148" s="618"/>
      <c r="V148" s="618"/>
      <c r="W148" s="618"/>
      <c r="X148" s="618"/>
      <c r="Y148" s="618"/>
      <c r="Z148" s="618"/>
    </row>
    <row r="149" spans="1:26" ht="15.75" customHeight="1">
      <c r="A149" s="617"/>
      <c r="B149" s="618"/>
      <c r="C149" s="618"/>
      <c r="D149" s="618"/>
      <c r="E149" s="618"/>
      <c r="F149" s="618"/>
      <c r="G149" s="618"/>
      <c r="H149" s="618"/>
      <c r="I149" s="618"/>
      <c r="J149" s="618"/>
      <c r="K149" s="618"/>
      <c r="L149" s="618"/>
      <c r="M149" s="618"/>
      <c r="N149" s="618"/>
      <c r="O149" s="618"/>
      <c r="P149" s="618"/>
      <c r="Q149" s="618"/>
      <c r="R149" s="618"/>
      <c r="S149" s="618"/>
      <c r="T149" s="618"/>
      <c r="U149" s="618"/>
      <c r="V149" s="618"/>
      <c r="W149" s="618"/>
      <c r="X149" s="618"/>
      <c r="Y149" s="618"/>
      <c r="Z149" s="618"/>
    </row>
    <row r="150" spans="1:26" ht="15.75" customHeight="1">
      <c r="A150" s="617"/>
      <c r="B150" s="618"/>
      <c r="C150" s="618"/>
      <c r="D150" s="618"/>
      <c r="E150" s="618"/>
      <c r="F150" s="618"/>
      <c r="G150" s="618"/>
      <c r="H150" s="618"/>
      <c r="I150" s="618"/>
      <c r="J150" s="618"/>
      <c r="K150" s="618"/>
      <c r="L150" s="618"/>
      <c r="M150" s="618"/>
      <c r="N150" s="618"/>
      <c r="O150" s="618"/>
      <c r="P150" s="618"/>
      <c r="Q150" s="618"/>
      <c r="R150" s="618"/>
      <c r="S150" s="618"/>
      <c r="T150" s="618"/>
      <c r="U150" s="618"/>
      <c r="V150" s="618"/>
      <c r="W150" s="618"/>
      <c r="X150" s="618"/>
      <c r="Y150" s="618"/>
      <c r="Z150" s="618"/>
    </row>
    <row r="151" spans="1:26" ht="15.75" customHeight="1">
      <c r="A151" s="617"/>
      <c r="B151" s="618"/>
      <c r="C151" s="618"/>
      <c r="D151" s="618"/>
      <c r="E151" s="618"/>
      <c r="F151" s="618"/>
      <c r="G151" s="618"/>
      <c r="H151" s="618"/>
      <c r="I151" s="618"/>
      <c r="J151" s="618"/>
      <c r="K151" s="618"/>
      <c r="L151" s="618"/>
      <c r="M151" s="618"/>
      <c r="N151" s="618"/>
      <c r="O151" s="618"/>
      <c r="P151" s="618"/>
      <c r="Q151" s="618"/>
      <c r="R151" s="618"/>
      <c r="S151" s="618"/>
      <c r="T151" s="618"/>
      <c r="U151" s="618"/>
      <c r="V151" s="618"/>
      <c r="W151" s="618"/>
      <c r="X151" s="618"/>
      <c r="Y151" s="618"/>
      <c r="Z151" s="618"/>
    </row>
    <row r="152" spans="1:26" ht="15.75" customHeight="1">
      <c r="A152" s="617"/>
      <c r="B152" s="618"/>
      <c r="C152" s="618"/>
      <c r="D152" s="618"/>
      <c r="E152" s="618"/>
      <c r="F152" s="618"/>
      <c r="G152" s="618"/>
      <c r="H152" s="618"/>
      <c r="I152" s="618"/>
      <c r="J152" s="618"/>
      <c r="K152" s="618"/>
      <c r="L152" s="618"/>
      <c r="M152" s="618"/>
      <c r="N152" s="618"/>
      <c r="O152" s="618"/>
      <c r="P152" s="618"/>
      <c r="Q152" s="618"/>
      <c r="R152" s="618"/>
      <c r="S152" s="618"/>
      <c r="T152" s="618"/>
      <c r="U152" s="618"/>
      <c r="V152" s="618"/>
      <c r="W152" s="618"/>
      <c r="X152" s="618"/>
      <c r="Y152" s="618"/>
      <c r="Z152" s="618"/>
    </row>
    <row r="153" spans="1:26" ht="15.75" customHeight="1">
      <c r="A153" s="617"/>
      <c r="B153" s="618"/>
      <c r="C153" s="618"/>
      <c r="D153" s="618"/>
      <c r="E153" s="618"/>
      <c r="F153" s="618"/>
      <c r="G153" s="618"/>
      <c r="H153" s="618"/>
      <c r="I153" s="618"/>
      <c r="J153" s="618"/>
      <c r="K153" s="618"/>
      <c r="L153" s="618"/>
      <c r="M153" s="618"/>
      <c r="N153" s="618"/>
      <c r="O153" s="618"/>
      <c r="P153" s="618"/>
      <c r="Q153" s="618"/>
      <c r="R153" s="618"/>
      <c r="S153" s="618"/>
      <c r="T153" s="618"/>
      <c r="U153" s="618"/>
      <c r="V153" s="618"/>
      <c r="W153" s="618"/>
      <c r="X153" s="618"/>
      <c r="Y153" s="618"/>
      <c r="Z153" s="618"/>
    </row>
    <row r="154" spans="1:26" ht="15.75" customHeight="1">
      <c r="A154" s="617"/>
      <c r="B154" s="618"/>
      <c r="C154" s="618"/>
      <c r="D154" s="618"/>
      <c r="E154" s="618"/>
      <c r="F154" s="618"/>
      <c r="G154" s="618"/>
      <c r="H154" s="618"/>
      <c r="I154" s="618"/>
      <c r="J154" s="618"/>
      <c r="K154" s="618"/>
      <c r="L154" s="618"/>
      <c r="M154" s="618"/>
      <c r="N154" s="618"/>
      <c r="O154" s="618"/>
      <c r="P154" s="618"/>
      <c r="Q154" s="618"/>
      <c r="R154" s="618"/>
      <c r="S154" s="618"/>
      <c r="T154" s="618"/>
      <c r="U154" s="618"/>
      <c r="V154" s="618"/>
      <c r="W154" s="618"/>
      <c r="X154" s="618"/>
      <c r="Y154" s="618"/>
      <c r="Z154" s="618"/>
    </row>
    <row r="155" spans="1:26" ht="15.75" customHeight="1">
      <c r="A155" s="617"/>
      <c r="B155" s="618"/>
      <c r="C155" s="618"/>
      <c r="D155" s="618"/>
      <c r="E155" s="618"/>
      <c r="F155" s="618"/>
      <c r="G155" s="618"/>
      <c r="H155" s="618"/>
      <c r="I155" s="618"/>
      <c r="J155" s="618"/>
      <c r="K155" s="618"/>
      <c r="L155" s="618"/>
      <c r="M155" s="618"/>
      <c r="N155" s="618"/>
      <c r="O155" s="618"/>
      <c r="P155" s="618"/>
      <c r="Q155" s="618"/>
      <c r="R155" s="618"/>
      <c r="S155" s="618"/>
      <c r="T155" s="618"/>
      <c r="U155" s="618"/>
      <c r="V155" s="618"/>
      <c r="W155" s="618"/>
      <c r="X155" s="618"/>
      <c r="Y155" s="618"/>
      <c r="Z155" s="618"/>
    </row>
    <row r="156" spans="1:26" ht="15.75" customHeight="1">
      <c r="A156" s="617"/>
      <c r="B156" s="618"/>
      <c r="C156" s="618"/>
      <c r="D156" s="618"/>
      <c r="E156" s="618"/>
      <c r="F156" s="618"/>
      <c r="G156" s="618"/>
      <c r="H156" s="618"/>
      <c r="I156" s="618"/>
      <c r="J156" s="618"/>
      <c r="K156" s="618"/>
      <c r="L156" s="618"/>
      <c r="M156" s="618"/>
      <c r="N156" s="618"/>
      <c r="O156" s="618"/>
      <c r="P156" s="618"/>
      <c r="Q156" s="618"/>
      <c r="R156" s="618"/>
      <c r="S156" s="618"/>
      <c r="T156" s="618"/>
      <c r="U156" s="618"/>
      <c r="V156" s="618"/>
      <c r="W156" s="618"/>
      <c r="X156" s="618"/>
      <c r="Y156" s="618"/>
      <c r="Z156" s="618"/>
    </row>
    <row r="157" spans="1:26" ht="15.75" customHeight="1">
      <c r="A157" s="617"/>
      <c r="B157" s="618"/>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row>
    <row r="158" spans="1:26" ht="15.75" customHeight="1">
      <c r="A158" s="617"/>
      <c r="B158" s="618"/>
      <c r="C158" s="618"/>
      <c r="D158" s="618"/>
      <c r="E158" s="618"/>
      <c r="F158" s="618"/>
      <c r="G158" s="618"/>
      <c r="H158" s="618"/>
      <c r="I158" s="618"/>
      <c r="J158" s="618"/>
      <c r="K158" s="618"/>
      <c r="L158" s="618"/>
      <c r="M158" s="618"/>
      <c r="N158" s="618"/>
      <c r="O158" s="618"/>
      <c r="P158" s="618"/>
      <c r="Q158" s="618"/>
      <c r="R158" s="618"/>
      <c r="S158" s="618"/>
      <c r="T158" s="618"/>
      <c r="U158" s="618"/>
      <c r="V158" s="618"/>
      <c r="W158" s="618"/>
      <c r="X158" s="618"/>
      <c r="Y158" s="618"/>
      <c r="Z158" s="618"/>
    </row>
    <row r="159" spans="1:26" ht="15.75" customHeight="1">
      <c r="A159" s="617"/>
      <c r="B159" s="618"/>
      <c r="C159" s="618"/>
      <c r="D159" s="618"/>
      <c r="E159" s="618"/>
      <c r="F159" s="618"/>
      <c r="G159" s="618"/>
      <c r="H159" s="618"/>
      <c r="I159" s="618"/>
      <c r="J159" s="618"/>
      <c r="K159" s="618"/>
      <c r="L159" s="618"/>
      <c r="M159" s="618"/>
      <c r="N159" s="618"/>
      <c r="O159" s="618"/>
      <c r="P159" s="618"/>
      <c r="Q159" s="618"/>
      <c r="R159" s="618"/>
      <c r="S159" s="618"/>
      <c r="T159" s="618"/>
      <c r="U159" s="618"/>
      <c r="V159" s="618"/>
      <c r="W159" s="618"/>
      <c r="X159" s="618"/>
      <c r="Y159" s="618"/>
      <c r="Z159" s="618"/>
    </row>
    <row r="160" spans="1:26" ht="15.75" customHeight="1">
      <c r="A160" s="617"/>
      <c r="B160" s="618"/>
      <c r="C160" s="618"/>
      <c r="D160" s="618"/>
      <c r="E160" s="618"/>
      <c r="F160" s="618"/>
      <c r="G160" s="618"/>
      <c r="H160" s="618"/>
      <c r="I160" s="618"/>
      <c r="J160" s="618"/>
      <c r="K160" s="618"/>
      <c r="L160" s="618"/>
      <c r="M160" s="618"/>
      <c r="N160" s="618"/>
      <c r="O160" s="618"/>
      <c r="P160" s="618"/>
      <c r="Q160" s="618"/>
      <c r="R160" s="618"/>
      <c r="S160" s="618"/>
      <c r="T160" s="618"/>
      <c r="U160" s="618"/>
      <c r="V160" s="618"/>
      <c r="W160" s="618"/>
      <c r="X160" s="618"/>
      <c r="Y160" s="618"/>
      <c r="Z160" s="618"/>
    </row>
    <row r="161" spans="1:26" ht="15.75" customHeight="1">
      <c r="A161" s="617"/>
      <c r="B161" s="618"/>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row>
    <row r="162" spans="1:26" ht="15.75" customHeight="1">
      <c r="A162" s="617"/>
      <c r="B162" s="618"/>
      <c r="C162" s="618"/>
      <c r="D162" s="618"/>
      <c r="E162" s="618"/>
      <c r="F162" s="618"/>
      <c r="G162" s="618"/>
      <c r="H162" s="618"/>
      <c r="I162" s="618"/>
      <c r="J162" s="618"/>
      <c r="K162" s="618"/>
      <c r="L162" s="618"/>
      <c r="M162" s="618"/>
      <c r="N162" s="618"/>
      <c r="O162" s="618"/>
      <c r="P162" s="618"/>
      <c r="Q162" s="618"/>
      <c r="R162" s="618"/>
      <c r="S162" s="618"/>
      <c r="T162" s="618"/>
      <c r="U162" s="618"/>
      <c r="V162" s="618"/>
      <c r="W162" s="618"/>
      <c r="X162" s="618"/>
      <c r="Y162" s="618"/>
      <c r="Z162" s="618"/>
    </row>
    <row r="163" spans="1:26" ht="15.75" customHeight="1">
      <c r="A163" s="617"/>
      <c r="B163" s="618"/>
      <c r="C163" s="618"/>
      <c r="D163" s="618"/>
      <c r="E163" s="618"/>
      <c r="F163" s="618"/>
      <c r="G163" s="618"/>
      <c r="H163" s="618"/>
      <c r="I163" s="618"/>
      <c r="J163" s="618"/>
      <c r="K163" s="618"/>
      <c r="L163" s="618"/>
      <c r="M163" s="618"/>
      <c r="N163" s="618"/>
      <c r="O163" s="618"/>
      <c r="P163" s="618"/>
      <c r="Q163" s="618"/>
      <c r="R163" s="618"/>
      <c r="S163" s="618"/>
      <c r="T163" s="618"/>
      <c r="U163" s="618"/>
      <c r="V163" s="618"/>
      <c r="W163" s="618"/>
      <c r="X163" s="618"/>
      <c r="Y163" s="618"/>
      <c r="Z163" s="618"/>
    </row>
    <row r="164" spans="1:26" ht="15.75" customHeight="1">
      <c r="A164" s="617"/>
      <c r="B164" s="618"/>
      <c r="C164" s="618"/>
      <c r="D164" s="618"/>
      <c r="E164" s="618"/>
      <c r="F164" s="618"/>
      <c r="G164" s="618"/>
      <c r="H164" s="618"/>
      <c r="I164" s="618"/>
      <c r="J164" s="618"/>
      <c r="K164" s="618"/>
      <c r="L164" s="618"/>
      <c r="M164" s="618"/>
      <c r="N164" s="618"/>
      <c r="O164" s="618"/>
      <c r="P164" s="618"/>
      <c r="Q164" s="618"/>
      <c r="R164" s="618"/>
      <c r="S164" s="618"/>
      <c r="T164" s="618"/>
      <c r="U164" s="618"/>
      <c r="V164" s="618"/>
      <c r="W164" s="618"/>
      <c r="X164" s="618"/>
      <c r="Y164" s="618"/>
      <c r="Z164" s="618"/>
    </row>
    <row r="165" spans="1:26" ht="15.75" customHeight="1">
      <c r="A165" s="617"/>
      <c r="B165" s="618"/>
      <c r="C165" s="618"/>
      <c r="D165" s="618"/>
      <c r="E165" s="618"/>
      <c r="F165" s="618"/>
      <c r="G165" s="618"/>
      <c r="H165" s="618"/>
      <c r="I165" s="618"/>
      <c r="J165" s="618"/>
      <c r="K165" s="618"/>
      <c r="L165" s="618"/>
      <c r="M165" s="618"/>
      <c r="N165" s="618"/>
      <c r="O165" s="618"/>
      <c r="P165" s="618"/>
      <c r="Q165" s="618"/>
      <c r="R165" s="618"/>
      <c r="S165" s="618"/>
      <c r="T165" s="618"/>
      <c r="U165" s="618"/>
      <c r="V165" s="618"/>
      <c r="W165" s="618"/>
      <c r="X165" s="618"/>
      <c r="Y165" s="618"/>
      <c r="Z165" s="618"/>
    </row>
    <row r="166" spans="1:26" ht="15.75" customHeight="1">
      <c r="A166" s="617"/>
      <c r="B166" s="618"/>
      <c r="C166" s="618"/>
      <c r="D166" s="618"/>
      <c r="E166" s="618"/>
      <c r="F166" s="618"/>
      <c r="G166" s="618"/>
      <c r="H166" s="618"/>
      <c r="I166" s="618"/>
      <c r="J166" s="618"/>
      <c r="K166" s="618"/>
      <c r="L166" s="618"/>
      <c r="M166" s="618"/>
      <c r="N166" s="618"/>
      <c r="O166" s="618"/>
      <c r="P166" s="618"/>
      <c r="Q166" s="618"/>
      <c r="R166" s="618"/>
      <c r="S166" s="618"/>
      <c r="T166" s="618"/>
      <c r="U166" s="618"/>
      <c r="V166" s="618"/>
      <c r="W166" s="618"/>
      <c r="X166" s="618"/>
      <c r="Y166" s="618"/>
      <c r="Z166" s="618"/>
    </row>
    <row r="167" spans="1:26" ht="15.75" customHeight="1">
      <c r="A167" s="617"/>
      <c r="B167" s="618"/>
      <c r="C167" s="618"/>
      <c r="D167" s="618"/>
      <c r="E167" s="618"/>
      <c r="F167" s="618"/>
      <c r="G167" s="618"/>
      <c r="H167" s="618"/>
      <c r="I167" s="618"/>
      <c r="J167" s="618"/>
      <c r="K167" s="618"/>
      <c r="L167" s="618"/>
      <c r="M167" s="618"/>
      <c r="N167" s="618"/>
      <c r="O167" s="618"/>
      <c r="P167" s="618"/>
      <c r="Q167" s="618"/>
      <c r="R167" s="618"/>
      <c r="S167" s="618"/>
      <c r="T167" s="618"/>
      <c r="U167" s="618"/>
      <c r="V167" s="618"/>
      <c r="W167" s="618"/>
      <c r="X167" s="618"/>
      <c r="Y167" s="618"/>
      <c r="Z167" s="618"/>
    </row>
    <row r="168" spans="1:26" ht="15.75" customHeight="1">
      <c r="A168" s="617"/>
      <c r="B168" s="618"/>
      <c r="C168" s="618"/>
      <c r="D168" s="618"/>
      <c r="E168" s="618"/>
      <c r="F168" s="618"/>
      <c r="G168" s="618"/>
      <c r="H168" s="618"/>
      <c r="I168" s="618"/>
      <c r="J168" s="618"/>
      <c r="K168" s="618"/>
      <c r="L168" s="618"/>
      <c r="M168" s="618"/>
      <c r="N168" s="618"/>
      <c r="O168" s="618"/>
      <c r="P168" s="618"/>
      <c r="Q168" s="618"/>
      <c r="R168" s="618"/>
      <c r="S168" s="618"/>
      <c r="T168" s="618"/>
      <c r="U168" s="618"/>
      <c r="V168" s="618"/>
      <c r="W168" s="618"/>
      <c r="X168" s="618"/>
      <c r="Y168" s="618"/>
      <c r="Z168" s="618"/>
    </row>
    <row r="169" spans="1:26" ht="15.75" customHeight="1">
      <c r="A169" s="617"/>
      <c r="B169" s="618"/>
      <c r="C169" s="618"/>
      <c r="D169" s="618"/>
      <c r="E169" s="618"/>
      <c r="F169" s="618"/>
      <c r="G169" s="618"/>
      <c r="H169" s="618"/>
      <c r="I169" s="618"/>
      <c r="J169" s="618"/>
      <c r="K169" s="618"/>
      <c r="L169" s="618"/>
      <c r="M169" s="618"/>
      <c r="N169" s="618"/>
      <c r="O169" s="618"/>
      <c r="P169" s="618"/>
      <c r="Q169" s="618"/>
      <c r="R169" s="618"/>
      <c r="S169" s="618"/>
      <c r="T169" s="618"/>
      <c r="U169" s="618"/>
      <c r="V169" s="618"/>
      <c r="W169" s="618"/>
      <c r="X169" s="618"/>
      <c r="Y169" s="618"/>
      <c r="Z169" s="618"/>
    </row>
    <row r="170" spans="1:26" ht="15.75" customHeight="1">
      <c r="A170" s="617"/>
      <c r="B170" s="618"/>
      <c r="C170" s="618"/>
      <c r="D170" s="618"/>
      <c r="E170" s="618"/>
      <c r="F170" s="618"/>
      <c r="G170" s="618"/>
      <c r="H170" s="618"/>
      <c r="I170" s="618"/>
      <c r="J170" s="618"/>
      <c r="K170" s="618"/>
      <c r="L170" s="618"/>
      <c r="M170" s="618"/>
      <c r="N170" s="618"/>
      <c r="O170" s="618"/>
      <c r="P170" s="618"/>
      <c r="Q170" s="618"/>
      <c r="R170" s="618"/>
      <c r="S170" s="618"/>
      <c r="T170" s="618"/>
      <c r="U170" s="618"/>
      <c r="V170" s="618"/>
      <c r="W170" s="618"/>
      <c r="X170" s="618"/>
      <c r="Y170" s="618"/>
      <c r="Z170" s="618"/>
    </row>
    <row r="171" spans="1:26" ht="15.75" customHeight="1">
      <c r="A171" s="617"/>
      <c r="B171" s="618"/>
      <c r="C171" s="618"/>
      <c r="D171" s="618"/>
      <c r="E171" s="618"/>
      <c r="F171" s="618"/>
      <c r="G171" s="618"/>
      <c r="H171" s="618"/>
      <c r="I171" s="618"/>
      <c r="J171" s="618"/>
      <c r="K171" s="618"/>
      <c r="L171" s="618"/>
      <c r="M171" s="618"/>
      <c r="N171" s="618"/>
      <c r="O171" s="618"/>
      <c r="P171" s="618"/>
      <c r="Q171" s="618"/>
      <c r="R171" s="618"/>
      <c r="S171" s="618"/>
      <c r="T171" s="618"/>
      <c r="U171" s="618"/>
      <c r="V171" s="618"/>
      <c r="W171" s="618"/>
      <c r="X171" s="618"/>
      <c r="Y171" s="618"/>
      <c r="Z171" s="618"/>
    </row>
    <row r="172" spans="1:26" ht="15.75" customHeight="1">
      <c r="A172" s="617"/>
      <c r="B172" s="618"/>
      <c r="C172" s="618"/>
      <c r="D172" s="618"/>
      <c r="E172" s="618"/>
      <c r="F172" s="618"/>
      <c r="G172" s="618"/>
      <c r="H172" s="618"/>
      <c r="I172" s="618"/>
      <c r="J172" s="618"/>
      <c r="K172" s="618"/>
      <c r="L172" s="618"/>
      <c r="M172" s="618"/>
      <c r="N172" s="618"/>
      <c r="O172" s="618"/>
      <c r="P172" s="618"/>
      <c r="Q172" s="618"/>
      <c r="R172" s="618"/>
      <c r="S172" s="618"/>
      <c r="T172" s="618"/>
      <c r="U172" s="618"/>
      <c r="V172" s="618"/>
      <c r="W172" s="618"/>
      <c r="X172" s="618"/>
      <c r="Y172" s="618"/>
      <c r="Z172" s="618"/>
    </row>
    <row r="173" spans="1:26" ht="15.75" customHeight="1">
      <c r="A173" s="617"/>
      <c r="B173" s="618"/>
      <c r="C173" s="618"/>
      <c r="D173" s="618"/>
      <c r="E173" s="618"/>
      <c r="F173" s="618"/>
      <c r="G173" s="618"/>
      <c r="H173" s="618"/>
      <c r="I173" s="618"/>
      <c r="J173" s="618"/>
      <c r="K173" s="618"/>
      <c r="L173" s="618"/>
      <c r="M173" s="618"/>
      <c r="N173" s="618"/>
      <c r="O173" s="618"/>
      <c r="P173" s="618"/>
      <c r="Q173" s="618"/>
      <c r="R173" s="618"/>
      <c r="S173" s="618"/>
      <c r="T173" s="618"/>
      <c r="U173" s="618"/>
      <c r="V173" s="618"/>
      <c r="W173" s="618"/>
      <c r="X173" s="618"/>
      <c r="Y173" s="618"/>
      <c r="Z173" s="618"/>
    </row>
    <row r="174" spans="1:26" ht="15.75" customHeight="1">
      <c r="A174" s="617"/>
      <c r="B174" s="618"/>
      <c r="C174" s="618"/>
      <c r="D174" s="618"/>
      <c r="E174" s="618"/>
      <c r="F174" s="618"/>
      <c r="G174" s="618"/>
      <c r="H174" s="618"/>
      <c r="I174" s="618"/>
      <c r="J174" s="618"/>
      <c r="K174" s="618"/>
      <c r="L174" s="618"/>
      <c r="M174" s="618"/>
      <c r="N174" s="618"/>
      <c r="O174" s="618"/>
      <c r="P174" s="618"/>
      <c r="Q174" s="618"/>
      <c r="R174" s="618"/>
      <c r="S174" s="618"/>
      <c r="T174" s="618"/>
      <c r="U174" s="618"/>
      <c r="V174" s="618"/>
      <c r="W174" s="618"/>
      <c r="X174" s="618"/>
      <c r="Y174" s="618"/>
      <c r="Z174" s="618"/>
    </row>
    <row r="175" spans="1:26" ht="15.75" customHeight="1">
      <c r="A175" s="617"/>
      <c r="B175" s="618"/>
      <c r="C175" s="618"/>
      <c r="D175" s="618"/>
      <c r="E175" s="618"/>
      <c r="F175" s="618"/>
      <c r="G175" s="618"/>
      <c r="H175" s="618"/>
      <c r="I175" s="618"/>
      <c r="J175" s="618"/>
      <c r="K175" s="618"/>
      <c r="L175" s="618"/>
      <c r="M175" s="618"/>
      <c r="N175" s="618"/>
      <c r="O175" s="618"/>
      <c r="P175" s="618"/>
      <c r="Q175" s="618"/>
      <c r="R175" s="618"/>
      <c r="S175" s="618"/>
      <c r="T175" s="618"/>
      <c r="U175" s="618"/>
      <c r="V175" s="618"/>
      <c r="W175" s="618"/>
      <c r="X175" s="618"/>
      <c r="Y175" s="618"/>
      <c r="Z175" s="618"/>
    </row>
    <row r="176" spans="1:26" ht="15.75" customHeight="1">
      <c r="A176" s="617"/>
      <c r="B176" s="618"/>
      <c r="C176" s="618"/>
      <c r="D176" s="618"/>
      <c r="E176" s="618"/>
      <c r="F176" s="618"/>
      <c r="G176" s="618"/>
      <c r="H176" s="618"/>
      <c r="I176" s="618"/>
      <c r="J176" s="618"/>
      <c r="K176" s="618"/>
      <c r="L176" s="618"/>
      <c r="M176" s="618"/>
      <c r="N176" s="618"/>
      <c r="O176" s="618"/>
      <c r="P176" s="618"/>
      <c r="Q176" s="618"/>
      <c r="R176" s="618"/>
      <c r="S176" s="618"/>
      <c r="T176" s="618"/>
      <c r="U176" s="618"/>
      <c r="V176" s="618"/>
      <c r="W176" s="618"/>
      <c r="X176" s="618"/>
      <c r="Y176" s="618"/>
      <c r="Z176" s="618"/>
    </row>
    <row r="177" spans="1:26" ht="15.75" customHeight="1">
      <c r="A177" s="617"/>
      <c r="B177" s="618"/>
      <c r="C177" s="618"/>
      <c r="D177" s="618"/>
      <c r="E177" s="618"/>
      <c r="F177" s="618"/>
      <c r="G177" s="618"/>
      <c r="H177" s="618"/>
      <c r="I177" s="618"/>
      <c r="J177" s="618"/>
      <c r="K177" s="618"/>
      <c r="L177" s="618"/>
      <c r="M177" s="618"/>
      <c r="N177" s="618"/>
      <c r="O177" s="618"/>
      <c r="P177" s="618"/>
      <c r="Q177" s="618"/>
      <c r="R177" s="618"/>
      <c r="S177" s="618"/>
      <c r="T177" s="618"/>
      <c r="U177" s="618"/>
      <c r="V177" s="618"/>
      <c r="W177" s="618"/>
      <c r="X177" s="618"/>
      <c r="Y177" s="618"/>
      <c r="Z177" s="618"/>
    </row>
    <row r="178" spans="1:26" ht="15.75" customHeight="1">
      <c r="A178" s="617"/>
      <c r="B178" s="618"/>
      <c r="C178" s="618"/>
      <c r="D178" s="618"/>
      <c r="E178" s="618"/>
      <c r="F178" s="618"/>
      <c r="G178" s="618"/>
      <c r="H178" s="618"/>
      <c r="I178" s="618"/>
      <c r="J178" s="618"/>
      <c r="K178" s="618"/>
      <c r="L178" s="618"/>
      <c r="M178" s="618"/>
      <c r="N178" s="618"/>
      <c r="O178" s="618"/>
      <c r="P178" s="618"/>
      <c r="Q178" s="618"/>
      <c r="R178" s="618"/>
      <c r="S178" s="618"/>
      <c r="T178" s="618"/>
      <c r="U178" s="618"/>
      <c r="V178" s="618"/>
      <c r="W178" s="618"/>
      <c r="X178" s="618"/>
      <c r="Y178" s="618"/>
      <c r="Z178" s="618"/>
    </row>
    <row r="179" spans="1:26" ht="15.75" customHeight="1">
      <c r="A179" s="617"/>
      <c r="B179" s="618"/>
      <c r="C179" s="618"/>
      <c r="D179" s="618"/>
      <c r="E179" s="618"/>
      <c r="F179" s="618"/>
      <c r="G179" s="618"/>
      <c r="H179" s="618"/>
      <c r="I179" s="618"/>
      <c r="J179" s="618"/>
      <c r="K179" s="618"/>
      <c r="L179" s="618"/>
      <c r="M179" s="618"/>
      <c r="N179" s="618"/>
      <c r="O179" s="618"/>
      <c r="P179" s="618"/>
      <c r="Q179" s="618"/>
      <c r="R179" s="618"/>
      <c r="S179" s="618"/>
      <c r="T179" s="618"/>
      <c r="U179" s="618"/>
      <c r="V179" s="618"/>
      <c r="W179" s="618"/>
      <c r="X179" s="618"/>
      <c r="Y179" s="618"/>
      <c r="Z179" s="618"/>
    </row>
    <row r="180" spans="1:26" ht="15.75" customHeight="1">
      <c r="A180" s="617"/>
      <c r="B180" s="618"/>
      <c r="C180" s="618"/>
      <c r="D180" s="618"/>
      <c r="E180" s="618"/>
      <c r="F180" s="618"/>
      <c r="G180" s="618"/>
      <c r="H180" s="618"/>
      <c r="I180" s="618"/>
      <c r="J180" s="618"/>
      <c r="K180" s="618"/>
      <c r="L180" s="618"/>
      <c r="M180" s="618"/>
      <c r="N180" s="618"/>
      <c r="O180" s="618"/>
      <c r="P180" s="618"/>
      <c r="Q180" s="618"/>
      <c r="R180" s="618"/>
      <c r="S180" s="618"/>
      <c r="T180" s="618"/>
      <c r="U180" s="618"/>
      <c r="V180" s="618"/>
      <c r="W180" s="618"/>
      <c r="X180" s="618"/>
      <c r="Y180" s="618"/>
      <c r="Z180" s="618"/>
    </row>
    <row r="181" spans="1:26" ht="15.75" customHeight="1">
      <c r="A181" s="617"/>
      <c r="B181" s="618"/>
      <c r="C181" s="618"/>
      <c r="D181" s="618"/>
      <c r="E181" s="618"/>
      <c r="F181" s="618"/>
      <c r="G181" s="618"/>
      <c r="H181" s="618"/>
      <c r="I181" s="618"/>
      <c r="J181" s="618"/>
      <c r="K181" s="618"/>
      <c r="L181" s="618"/>
      <c r="M181" s="618"/>
      <c r="N181" s="618"/>
      <c r="O181" s="618"/>
      <c r="P181" s="618"/>
      <c r="Q181" s="618"/>
      <c r="R181" s="618"/>
      <c r="S181" s="618"/>
      <c r="T181" s="618"/>
      <c r="U181" s="618"/>
      <c r="V181" s="618"/>
      <c r="W181" s="618"/>
      <c r="X181" s="618"/>
      <c r="Y181" s="618"/>
      <c r="Z181" s="618"/>
    </row>
    <row r="182" spans="1:26" ht="15.75" customHeight="1">
      <c r="A182" s="617"/>
      <c r="B182" s="618"/>
      <c r="C182" s="618"/>
      <c r="D182" s="618"/>
      <c r="E182" s="618"/>
      <c r="F182" s="618"/>
      <c r="G182" s="618"/>
      <c r="H182" s="618"/>
      <c r="I182" s="618"/>
      <c r="J182" s="618"/>
      <c r="K182" s="618"/>
      <c r="L182" s="618"/>
      <c r="M182" s="618"/>
      <c r="N182" s="618"/>
      <c r="O182" s="618"/>
      <c r="P182" s="618"/>
      <c r="Q182" s="618"/>
      <c r="R182" s="618"/>
      <c r="S182" s="618"/>
      <c r="T182" s="618"/>
      <c r="U182" s="618"/>
      <c r="V182" s="618"/>
      <c r="W182" s="618"/>
      <c r="X182" s="618"/>
      <c r="Y182" s="618"/>
      <c r="Z182" s="618"/>
    </row>
    <row r="183" spans="1:26" ht="15.75" customHeight="1">
      <c r="A183" s="617"/>
      <c r="B183" s="618"/>
      <c r="C183" s="618"/>
      <c r="D183" s="618"/>
      <c r="E183" s="618"/>
      <c r="F183" s="618"/>
      <c r="G183" s="618"/>
      <c r="H183" s="618"/>
      <c r="I183" s="618"/>
      <c r="J183" s="618"/>
      <c r="K183" s="618"/>
      <c r="L183" s="618"/>
      <c r="M183" s="618"/>
      <c r="N183" s="618"/>
      <c r="O183" s="618"/>
      <c r="P183" s="618"/>
      <c r="Q183" s="618"/>
      <c r="R183" s="618"/>
      <c r="S183" s="618"/>
      <c r="T183" s="618"/>
      <c r="U183" s="618"/>
      <c r="V183" s="618"/>
      <c r="W183" s="618"/>
      <c r="X183" s="618"/>
      <c r="Y183" s="618"/>
      <c r="Z183" s="618"/>
    </row>
    <row r="184" spans="1:26" ht="15.75" customHeight="1">
      <c r="A184" s="617"/>
      <c r="B184" s="618"/>
      <c r="C184" s="618"/>
      <c r="D184" s="618"/>
      <c r="E184" s="618"/>
      <c r="F184" s="618"/>
      <c r="G184" s="618"/>
      <c r="H184" s="618"/>
      <c r="I184" s="618"/>
      <c r="J184" s="618"/>
      <c r="K184" s="618"/>
      <c r="L184" s="618"/>
      <c r="M184" s="618"/>
      <c r="N184" s="618"/>
      <c r="O184" s="618"/>
      <c r="P184" s="618"/>
      <c r="Q184" s="618"/>
      <c r="R184" s="618"/>
      <c r="S184" s="618"/>
      <c r="T184" s="618"/>
      <c r="U184" s="618"/>
      <c r="V184" s="618"/>
      <c r="W184" s="618"/>
      <c r="X184" s="618"/>
      <c r="Y184" s="618"/>
      <c r="Z184" s="618"/>
    </row>
    <row r="185" spans="1:26" ht="15.75" customHeight="1">
      <c r="A185" s="617"/>
      <c r="B185" s="618"/>
      <c r="C185" s="618"/>
      <c r="D185" s="618"/>
      <c r="E185" s="618"/>
      <c r="F185" s="618"/>
      <c r="G185" s="618"/>
      <c r="H185" s="618"/>
      <c r="I185" s="618"/>
      <c r="J185" s="618"/>
      <c r="K185" s="618"/>
      <c r="L185" s="618"/>
      <c r="M185" s="618"/>
      <c r="N185" s="618"/>
      <c r="O185" s="618"/>
      <c r="P185" s="618"/>
      <c r="Q185" s="618"/>
      <c r="R185" s="618"/>
      <c r="S185" s="618"/>
      <c r="T185" s="618"/>
      <c r="U185" s="618"/>
      <c r="V185" s="618"/>
      <c r="W185" s="618"/>
      <c r="X185" s="618"/>
      <c r="Y185" s="618"/>
      <c r="Z185" s="618"/>
    </row>
    <row r="186" spans="1:26" ht="15.75" customHeight="1">
      <c r="A186" s="617"/>
      <c r="B186" s="618"/>
      <c r="C186" s="618"/>
      <c r="D186" s="618"/>
      <c r="E186" s="618"/>
      <c r="F186" s="618"/>
      <c r="G186" s="618"/>
      <c r="H186" s="618"/>
      <c r="I186" s="618"/>
      <c r="J186" s="618"/>
      <c r="K186" s="618"/>
      <c r="L186" s="618"/>
      <c r="M186" s="618"/>
      <c r="N186" s="618"/>
      <c r="O186" s="618"/>
      <c r="P186" s="618"/>
      <c r="Q186" s="618"/>
      <c r="R186" s="618"/>
      <c r="S186" s="618"/>
      <c r="T186" s="618"/>
      <c r="U186" s="618"/>
      <c r="V186" s="618"/>
      <c r="W186" s="618"/>
      <c r="X186" s="618"/>
      <c r="Y186" s="618"/>
      <c r="Z186" s="618"/>
    </row>
    <row r="187" spans="1:26" ht="15.75" customHeight="1">
      <c r="A187" s="617"/>
      <c r="B187" s="618"/>
      <c r="C187" s="618"/>
      <c r="D187" s="618"/>
      <c r="E187" s="618"/>
      <c r="F187" s="618"/>
      <c r="G187" s="618"/>
      <c r="H187" s="618"/>
      <c r="I187" s="618"/>
      <c r="J187" s="618"/>
      <c r="K187" s="618"/>
      <c r="L187" s="618"/>
      <c r="M187" s="618"/>
      <c r="N187" s="618"/>
      <c r="O187" s="618"/>
      <c r="P187" s="618"/>
      <c r="Q187" s="618"/>
      <c r="R187" s="618"/>
      <c r="S187" s="618"/>
      <c r="T187" s="618"/>
      <c r="U187" s="618"/>
      <c r="V187" s="618"/>
      <c r="W187" s="618"/>
      <c r="X187" s="618"/>
      <c r="Y187" s="618"/>
      <c r="Z187" s="618"/>
    </row>
    <row r="188" spans="1:26" ht="15.75" customHeight="1">
      <c r="A188" s="617"/>
      <c r="B188" s="618"/>
      <c r="C188" s="618"/>
      <c r="D188" s="618"/>
      <c r="E188" s="618"/>
      <c r="F188" s="618"/>
      <c r="G188" s="618"/>
      <c r="H188" s="618"/>
      <c r="I188" s="618"/>
      <c r="J188" s="618"/>
      <c r="K188" s="618"/>
      <c r="L188" s="618"/>
      <c r="M188" s="618"/>
      <c r="N188" s="618"/>
      <c r="O188" s="618"/>
      <c r="P188" s="618"/>
      <c r="Q188" s="618"/>
      <c r="R188" s="618"/>
      <c r="S188" s="618"/>
      <c r="T188" s="618"/>
      <c r="U188" s="618"/>
      <c r="V188" s="618"/>
      <c r="W188" s="618"/>
      <c r="X188" s="618"/>
      <c r="Y188" s="618"/>
      <c r="Z188" s="618"/>
    </row>
    <row r="189" spans="1:26" ht="15.75" customHeight="1">
      <c r="A189" s="617"/>
      <c r="B189" s="618"/>
      <c r="C189" s="618"/>
      <c r="D189" s="618"/>
      <c r="E189" s="618"/>
      <c r="F189" s="618"/>
      <c r="G189" s="618"/>
      <c r="H189" s="618"/>
      <c r="I189" s="618"/>
      <c r="J189" s="618"/>
      <c r="K189" s="618"/>
      <c r="L189" s="618"/>
      <c r="M189" s="618"/>
      <c r="N189" s="618"/>
      <c r="O189" s="618"/>
      <c r="P189" s="618"/>
      <c r="Q189" s="618"/>
      <c r="R189" s="618"/>
      <c r="S189" s="618"/>
      <c r="T189" s="618"/>
      <c r="U189" s="618"/>
      <c r="V189" s="618"/>
      <c r="W189" s="618"/>
      <c r="X189" s="618"/>
      <c r="Y189" s="618"/>
      <c r="Z189" s="618"/>
    </row>
    <row r="190" spans="1:26" ht="15.75" customHeight="1">
      <c r="A190" s="617"/>
      <c r="B190" s="618"/>
      <c r="C190" s="618"/>
      <c r="D190" s="618"/>
      <c r="E190" s="618"/>
      <c r="F190" s="618"/>
      <c r="G190" s="618"/>
      <c r="H190" s="618"/>
      <c r="I190" s="618"/>
      <c r="J190" s="618"/>
      <c r="K190" s="618"/>
      <c r="L190" s="618"/>
      <c r="M190" s="618"/>
      <c r="N190" s="618"/>
      <c r="O190" s="618"/>
      <c r="P190" s="618"/>
      <c r="Q190" s="618"/>
      <c r="R190" s="618"/>
      <c r="S190" s="618"/>
      <c r="T190" s="618"/>
      <c r="U190" s="618"/>
      <c r="V190" s="618"/>
      <c r="W190" s="618"/>
      <c r="X190" s="618"/>
      <c r="Y190" s="618"/>
      <c r="Z190" s="618"/>
    </row>
    <row r="191" spans="1:26" ht="15.75" customHeight="1">
      <c r="A191" s="617"/>
      <c r="B191" s="618"/>
      <c r="C191" s="618"/>
      <c r="D191" s="618"/>
      <c r="E191" s="618"/>
      <c r="F191" s="618"/>
      <c r="G191" s="618"/>
      <c r="H191" s="618"/>
      <c r="I191" s="618"/>
      <c r="J191" s="618"/>
      <c r="K191" s="618"/>
      <c r="L191" s="618"/>
      <c r="M191" s="618"/>
      <c r="N191" s="618"/>
      <c r="O191" s="618"/>
      <c r="P191" s="618"/>
      <c r="Q191" s="618"/>
      <c r="R191" s="618"/>
      <c r="S191" s="618"/>
      <c r="T191" s="618"/>
      <c r="U191" s="618"/>
      <c r="V191" s="618"/>
      <c r="W191" s="618"/>
      <c r="X191" s="618"/>
      <c r="Y191" s="618"/>
      <c r="Z191" s="618"/>
    </row>
    <row r="192" spans="1:26" ht="15.75" customHeight="1">
      <c r="A192" s="617"/>
      <c r="B192" s="618"/>
      <c r="C192" s="618"/>
      <c r="D192" s="618"/>
      <c r="E192" s="618"/>
      <c r="F192" s="618"/>
      <c r="G192" s="618"/>
      <c r="H192" s="618"/>
      <c r="I192" s="618"/>
      <c r="J192" s="618"/>
      <c r="K192" s="618"/>
      <c r="L192" s="618"/>
      <c r="M192" s="618"/>
      <c r="N192" s="618"/>
      <c r="O192" s="618"/>
      <c r="P192" s="618"/>
      <c r="Q192" s="618"/>
      <c r="R192" s="618"/>
      <c r="S192" s="618"/>
      <c r="T192" s="618"/>
      <c r="U192" s="618"/>
      <c r="V192" s="618"/>
      <c r="W192" s="618"/>
      <c r="X192" s="618"/>
      <c r="Y192" s="618"/>
      <c r="Z192" s="618"/>
    </row>
    <row r="193" spans="1:26" ht="15.75" customHeight="1">
      <c r="A193" s="617"/>
      <c r="B193" s="618"/>
      <c r="C193" s="618"/>
      <c r="D193" s="618"/>
      <c r="E193" s="618"/>
      <c r="F193" s="618"/>
      <c r="G193" s="618"/>
      <c r="H193" s="618"/>
      <c r="I193" s="618"/>
      <c r="J193" s="618"/>
      <c r="K193" s="618"/>
      <c r="L193" s="618"/>
      <c r="M193" s="618"/>
      <c r="N193" s="618"/>
      <c r="O193" s="618"/>
      <c r="P193" s="618"/>
      <c r="Q193" s="618"/>
      <c r="R193" s="618"/>
      <c r="S193" s="618"/>
      <c r="T193" s="618"/>
      <c r="U193" s="618"/>
      <c r="V193" s="618"/>
      <c r="W193" s="618"/>
      <c r="X193" s="618"/>
      <c r="Y193" s="618"/>
      <c r="Z193" s="618"/>
    </row>
    <row r="194" spans="1:26" ht="15.75" customHeight="1">
      <c r="A194" s="617"/>
      <c r="B194" s="618"/>
      <c r="C194" s="618"/>
      <c r="D194" s="618"/>
      <c r="E194" s="618"/>
      <c r="F194" s="618"/>
      <c r="G194" s="618"/>
      <c r="H194" s="618"/>
      <c r="I194" s="618"/>
      <c r="J194" s="618"/>
      <c r="K194" s="618"/>
      <c r="L194" s="618"/>
      <c r="M194" s="618"/>
      <c r="N194" s="618"/>
      <c r="O194" s="618"/>
      <c r="P194" s="618"/>
      <c r="Q194" s="618"/>
      <c r="R194" s="618"/>
      <c r="S194" s="618"/>
      <c r="T194" s="618"/>
      <c r="U194" s="618"/>
      <c r="V194" s="618"/>
      <c r="W194" s="618"/>
      <c r="X194" s="618"/>
      <c r="Y194" s="618"/>
      <c r="Z194" s="618"/>
    </row>
    <row r="195" spans="1:26" ht="15.75" customHeight="1">
      <c r="A195" s="617"/>
      <c r="B195" s="618"/>
      <c r="C195" s="618"/>
      <c r="D195" s="618"/>
      <c r="E195" s="618"/>
      <c r="F195" s="618"/>
      <c r="G195" s="618"/>
      <c r="H195" s="618"/>
      <c r="I195" s="618"/>
      <c r="J195" s="618"/>
      <c r="K195" s="618"/>
      <c r="L195" s="618"/>
      <c r="M195" s="618"/>
      <c r="N195" s="618"/>
      <c r="O195" s="618"/>
      <c r="P195" s="618"/>
      <c r="Q195" s="618"/>
      <c r="R195" s="618"/>
      <c r="S195" s="618"/>
      <c r="T195" s="618"/>
      <c r="U195" s="618"/>
      <c r="V195" s="618"/>
      <c r="W195" s="618"/>
      <c r="X195" s="618"/>
      <c r="Y195" s="618"/>
      <c r="Z195" s="618"/>
    </row>
    <row r="196" spans="1:26" ht="15.75" customHeight="1">
      <c r="A196" s="617"/>
      <c r="B196" s="618"/>
      <c r="C196" s="618"/>
      <c r="D196" s="618"/>
      <c r="E196" s="618"/>
      <c r="F196" s="618"/>
      <c r="G196" s="618"/>
      <c r="H196" s="618"/>
      <c r="I196" s="618"/>
      <c r="J196" s="618"/>
      <c r="K196" s="618"/>
      <c r="L196" s="618"/>
      <c r="M196" s="618"/>
      <c r="N196" s="618"/>
      <c r="O196" s="618"/>
      <c r="P196" s="618"/>
      <c r="Q196" s="618"/>
      <c r="R196" s="618"/>
      <c r="S196" s="618"/>
      <c r="T196" s="618"/>
      <c r="U196" s="618"/>
      <c r="V196" s="618"/>
      <c r="W196" s="618"/>
      <c r="X196" s="618"/>
      <c r="Y196" s="618"/>
      <c r="Z196" s="618"/>
    </row>
    <row r="197" spans="1:26" ht="15.75" customHeight="1">
      <c r="A197" s="617"/>
      <c r="B197" s="618"/>
      <c r="C197" s="618"/>
      <c r="D197" s="618"/>
      <c r="E197" s="618"/>
      <c r="F197" s="618"/>
      <c r="G197" s="618"/>
      <c r="H197" s="618"/>
      <c r="I197" s="618"/>
      <c r="J197" s="618"/>
      <c r="K197" s="618"/>
      <c r="L197" s="618"/>
      <c r="M197" s="618"/>
      <c r="N197" s="618"/>
      <c r="O197" s="618"/>
      <c r="P197" s="618"/>
      <c r="Q197" s="618"/>
      <c r="R197" s="618"/>
      <c r="S197" s="618"/>
      <c r="T197" s="618"/>
      <c r="U197" s="618"/>
      <c r="V197" s="618"/>
      <c r="W197" s="618"/>
      <c r="X197" s="618"/>
      <c r="Y197" s="618"/>
      <c r="Z197" s="618"/>
    </row>
    <row r="198" spans="1:26" ht="15.75" customHeight="1">
      <c r="A198" s="617"/>
      <c r="B198" s="618"/>
      <c r="C198" s="618"/>
      <c r="D198" s="618"/>
      <c r="E198" s="618"/>
      <c r="F198" s="618"/>
      <c r="G198" s="618"/>
      <c r="H198" s="618"/>
      <c r="I198" s="618"/>
      <c r="J198" s="618"/>
      <c r="K198" s="618"/>
      <c r="L198" s="618"/>
      <c r="M198" s="618"/>
      <c r="N198" s="618"/>
      <c r="O198" s="618"/>
      <c r="P198" s="618"/>
      <c r="Q198" s="618"/>
      <c r="R198" s="618"/>
      <c r="S198" s="618"/>
      <c r="T198" s="618"/>
      <c r="U198" s="618"/>
      <c r="V198" s="618"/>
      <c r="W198" s="618"/>
      <c r="X198" s="618"/>
      <c r="Y198" s="618"/>
      <c r="Z198" s="618"/>
    </row>
    <row r="199" spans="1:26" ht="15.75" customHeight="1">
      <c r="A199" s="617"/>
      <c r="B199" s="618"/>
      <c r="C199" s="618"/>
      <c r="D199" s="618"/>
      <c r="E199" s="618"/>
      <c r="F199" s="618"/>
      <c r="G199" s="618"/>
      <c r="H199" s="618"/>
      <c r="I199" s="618"/>
      <c r="J199" s="618"/>
      <c r="K199" s="618"/>
      <c r="L199" s="618"/>
      <c r="M199" s="618"/>
      <c r="N199" s="618"/>
      <c r="O199" s="618"/>
      <c r="P199" s="618"/>
      <c r="Q199" s="618"/>
      <c r="R199" s="618"/>
      <c r="S199" s="618"/>
      <c r="T199" s="618"/>
      <c r="U199" s="618"/>
      <c r="V199" s="618"/>
      <c r="W199" s="618"/>
      <c r="X199" s="618"/>
      <c r="Y199" s="618"/>
      <c r="Z199" s="618"/>
    </row>
    <row r="200" spans="1:26" ht="15.75" customHeight="1">
      <c r="A200" s="617"/>
      <c r="B200" s="618"/>
      <c r="C200" s="618"/>
      <c r="D200" s="618"/>
      <c r="E200" s="618"/>
      <c r="F200" s="618"/>
      <c r="G200" s="618"/>
      <c r="H200" s="618"/>
      <c r="I200" s="618"/>
      <c r="J200" s="618"/>
      <c r="K200" s="618"/>
      <c r="L200" s="618"/>
      <c r="M200" s="618"/>
      <c r="N200" s="618"/>
      <c r="O200" s="618"/>
      <c r="P200" s="618"/>
      <c r="Q200" s="618"/>
      <c r="R200" s="618"/>
      <c r="S200" s="618"/>
      <c r="T200" s="618"/>
      <c r="U200" s="618"/>
      <c r="V200" s="618"/>
      <c r="W200" s="618"/>
      <c r="X200" s="618"/>
      <c r="Y200" s="618"/>
      <c r="Z200" s="618"/>
    </row>
    <row r="201" spans="1:26" ht="15.75" customHeight="1">
      <c r="A201" s="617"/>
      <c r="B201" s="618"/>
      <c r="C201" s="618"/>
      <c r="D201" s="618"/>
      <c r="E201" s="618"/>
      <c r="F201" s="618"/>
      <c r="G201" s="618"/>
      <c r="H201" s="618"/>
      <c r="I201" s="618"/>
      <c r="J201" s="618"/>
      <c r="K201" s="618"/>
      <c r="L201" s="618"/>
      <c r="M201" s="618"/>
      <c r="N201" s="618"/>
      <c r="O201" s="618"/>
      <c r="P201" s="618"/>
      <c r="Q201" s="618"/>
      <c r="R201" s="618"/>
      <c r="S201" s="618"/>
      <c r="T201" s="618"/>
      <c r="U201" s="618"/>
      <c r="V201" s="618"/>
      <c r="W201" s="618"/>
      <c r="X201" s="618"/>
      <c r="Y201" s="618"/>
      <c r="Z201" s="618"/>
    </row>
    <row r="202" spans="1:26" ht="15.75" customHeight="1">
      <c r="A202" s="617"/>
      <c r="B202" s="618"/>
      <c r="C202" s="618"/>
      <c r="D202" s="618"/>
      <c r="E202" s="618"/>
      <c r="F202" s="618"/>
      <c r="G202" s="618"/>
      <c r="H202" s="618"/>
      <c r="I202" s="618"/>
      <c r="J202" s="618"/>
      <c r="K202" s="618"/>
      <c r="L202" s="618"/>
      <c r="M202" s="618"/>
      <c r="N202" s="618"/>
      <c r="O202" s="618"/>
      <c r="P202" s="618"/>
      <c r="Q202" s="618"/>
      <c r="R202" s="618"/>
      <c r="S202" s="618"/>
      <c r="T202" s="618"/>
      <c r="U202" s="618"/>
      <c r="V202" s="618"/>
      <c r="W202" s="618"/>
      <c r="X202" s="618"/>
      <c r="Y202" s="618"/>
      <c r="Z202" s="618"/>
    </row>
    <row r="203" spans="1:26" ht="15.75" customHeight="1">
      <c r="A203" s="617"/>
      <c r="B203" s="618"/>
      <c r="C203" s="618"/>
      <c r="D203" s="618"/>
      <c r="E203" s="618"/>
      <c r="F203" s="618"/>
      <c r="G203" s="618"/>
      <c r="H203" s="618"/>
      <c r="I203" s="618"/>
      <c r="J203" s="618"/>
      <c r="K203" s="618"/>
      <c r="L203" s="618"/>
      <c r="M203" s="618"/>
      <c r="N203" s="618"/>
      <c r="O203" s="618"/>
      <c r="P203" s="618"/>
      <c r="Q203" s="618"/>
      <c r="R203" s="618"/>
      <c r="S203" s="618"/>
      <c r="T203" s="618"/>
      <c r="U203" s="618"/>
      <c r="V203" s="618"/>
      <c r="W203" s="618"/>
      <c r="X203" s="618"/>
      <c r="Y203" s="618"/>
      <c r="Z203" s="618"/>
    </row>
    <row r="204" spans="1:26" ht="15.75" customHeight="1">
      <c r="A204" s="617"/>
      <c r="B204" s="618"/>
      <c r="C204" s="618"/>
      <c r="D204" s="618"/>
      <c r="E204" s="618"/>
      <c r="F204" s="618"/>
      <c r="G204" s="618"/>
      <c r="H204" s="618"/>
      <c r="I204" s="618"/>
      <c r="J204" s="618"/>
      <c r="K204" s="618"/>
      <c r="L204" s="618"/>
      <c r="M204" s="618"/>
      <c r="N204" s="618"/>
      <c r="O204" s="618"/>
      <c r="P204" s="618"/>
      <c r="Q204" s="618"/>
      <c r="R204" s="618"/>
      <c r="S204" s="618"/>
      <c r="T204" s="618"/>
      <c r="U204" s="618"/>
      <c r="V204" s="618"/>
      <c r="W204" s="618"/>
      <c r="X204" s="618"/>
      <c r="Y204" s="618"/>
      <c r="Z204" s="618"/>
    </row>
    <row r="205" spans="1:26" ht="15.75" customHeight="1">
      <c r="A205" s="617"/>
      <c r="B205" s="618"/>
      <c r="C205" s="618"/>
      <c r="D205" s="618"/>
      <c r="E205" s="618"/>
      <c r="F205" s="618"/>
      <c r="G205" s="618"/>
      <c r="H205" s="618"/>
      <c r="I205" s="618"/>
      <c r="J205" s="618"/>
      <c r="K205" s="618"/>
      <c r="L205" s="618"/>
      <c r="M205" s="618"/>
      <c r="N205" s="618"/>
      <c r="O205" s="618"/>
      <c r="P205" s="618"/>
      <c r="Q205" s="618"/>
      <c r="R205" s="618"/>
      <c r="S205" s="618"/>
      <c r="T205" s="618"/>
      <c r="U205" s="618"/>
      <c r="V205" s="618"/>
      <c r="W205" s="618"/>
      <c r="X205" s="618"/>
      <c r="Y205" s="618"/>
      <c r="Z205" s="618"/>
    </row>
    <row r="206" spans="1:26" ht="15.75" customHeight="1">
      <c r="A206" s="617"/>
      <c r="B206" s="618"/>
      <c r="C206" s="618"/>
      <c r="D206" s="618"/>
      <c r="E206" s="618"/>
      <c r="F206" s="618"/>
      <c r="G206" s="618"/>
      <c r="H206" s="618"/>
      <c r="I206" s="618"/>
      <c r="J206" s="618"/>
      <c r="K206" s="618"/>
      <c r="L206" s="618"/>
      <c r="M206" s="618"/>
      <c r="N206" s="618"/>
      <c r="O206" s="618"/>
      <c r="P206" s="618"/>
      <c r="Q206" s="618"/>
      <c r="R206" s="618"/>
      <c r="S206" s="618"/>
      <c r="T206" s="618"/>
      <c r="U206" s="618"/>
      <c r="V206" s="618"/>
      <c r="W206" s="618"/>
      <c r="X206" s="618"/>
      <c r="Y206" s="618"/>
      <c r="Z206" s="618"/>
    </row>
    <row r="207" spans="1:26" ht="15.75" customHeight="1">
      <c r="A207" s="617"/>
      <c r="B207" s="618"/>
      <c r="C207" s="618"/>
      <c r="D207" s="618"/>
      <c r="E207" s="618"/>
      <c r="F207" s="618"/>
      <c r="G207" s="618"/>
      <c r="H207" s="618"/>
      <c r="I207" s="618"/>
      <c r="J207" s="618"/>
      <c r="K207" s="618"/>
      <c r="L207" s="618"/>
      <c r="M207" s="618"/>
      <c r="N207" s="618"/>
      <c r="O207" s="618"/>
      <c r="P207" s="618"/>
      <c r="Q207" s="618"/>
      <c r="R207" s="618"/>
      <c r="S207" s="618"/>
      <c r="T207" s="618"/>
      <c r="U207" s="618"/>
      <c r="V207" s="618"/>
      <c r="W207" s="618"/>
      <c r="X207" s="618"/>
      <c r="Y207" s="618"/>
      <c r="Z207" s="618"/>
    </row>
    <row r="208" spans="1:26" ht="15.75" customHeight="1">
      <c r="A208" s="617"/>
      <c r="B208" s="618"/>
      <c r="C208" s="618"/>
      <c r="D208" s="618"/>
      <c r="E208" s="618"/>
      <c r="F208" s="618"/>
      <c r="G208" s="618"/>
      <c r="H208" s="618"/>
      <c r="I208" s="618"/>
      <c r="J208" s="618"/>
      <c r="K208" s="618"/>
      <c r="L208" s="618"/>
      <c r="M208" s="618"/>
      <c r="N208" s="618"/>
      <c r="O208" s="618"/>
      <c r="P208" s="618"/>
      <c r="Q208" s="618"/>
      <c r="R208" s="618"/>
      <c r="S208" s="618"/>
      <c r="T208" s="618"/>
      <c r="U208" s="618"/>
      <c r="V208" s="618"/>
      <c r="W208" s="618"/>
      <c r="X208" s="618"/>
      <c r="Y208" s="618"/>
      <c r="Z208" s="618"/>
    </row>
    <row r="209" spans="1:26" ht="15.75" customHeight="1">
      <c r="A209" s="617"/>
      <c r="B209" s="618"/>
      <c r="C209" s="618"/>
      <c r="D209" s="618"/>
      <c r="E209" s="618"/>
      <c r="F209" s="618"/>
      <c r="G209" s="618"/>
      <c r="H209" s="618"/>
      <c r="I209" s="618"/>
      <c r="J209" s="618"/>
      <c r="K209" s="618"/>
      <c r="L209" s="618"/>
      <c r="M209" s="618"/>
      <c r="N209" s="618"/>
      <c r="O209" s="618"/>
      <c r="P209" s="618"/>
      <c r="Q209" s="618"/>
      <c r="R209" s="618"/>
      <c r="S209" s="618"/>
      <c r="T209" s="618"/>
      <c r="U209" s="618"/>
      <c r="V209" s="618"/>
      <c r="W209" s="618"/>
      <c r="X209" s="618"/>
      <c r="Y209" s="618"/>
      <c r="Z209" s="618"/>
    </row>
    <row r="210" spans="1:26" ht="15.75" customHeight="1">
      <c r="A210" s="617"/>
      <c r="B210" s="618"/>
      <c r="C210" s="618"/>
      <c r="D210" s="618"/>
      <c r="E210" s="618"/>
      <c r="F210" s="618"/>
      <c r="G210" s="618"/>
      <c r="H210" s="618"/>
      <c r="I210" s="618"/>
      <c r="J210" s="618"/>
      <c r="K210" s="618"/>
      <c r="L210" s="618"/>
      <c r="M210" s="618"/>
      <c r="N210" s="618"/>
      <c r="O210" s="618"/>
      <c r="P210" s="618"/>
      <c r="Q210" s="618"/>
      <c r="R210" s="618"/>
      <c r="S210" s="618"/>
      <c r="T210" s="618"/>
      <c r="U210" s="618"/>
      <c r="V210" s="618"/>
      <c r="W210" s="618"/>
      <c r="X210" s="618"/>
      <c r="Y210" s="618"/>
      <c r="Z210" s="618"/>
    </row>
    <row r="211" spans="1:26" ht="15.75" customHeight="1">
      <c r="A211" s="617"/>
      <c r="B211" s="618"/>
      <c r="C211" s="618"/>
      <c r="D211" s="618"/>
      <c r="E211" s="618"/>
      <c r="F211" s="618"/>
      <c r="G211" s="618"/>
      <c r="H211" s="618"/>
      <c r="I211" s="618"/>
      <c r="J211" s="618"/>
      <c r="K211" s="618"/>
      <c r="L211" s="618"/>
      <c r="M211" s="618"/>
      <c r="N211" s="618"/>
      <c r="O211" s="618"/>
      <c r="P211" s="618"/>
      <c r="Q211" s="618"/>
      <c r="R211" s="618"/>
      <c r="S211" s="618"/>
      <c r="T211" s="618"/>
      <c r="U211" s="618"/>
      <c r="V211" s="618"/>
      <c r="W211" s="618"/>
      <c r="X211" s="618"/>
      <c r="Y211" s="618"/>
      <c r="Z211" s="618"/>
    </row>
    <row r="212" spans="1:26" ht="15.75" customHeight="1">
      <c r="A212" s="617"/>
      <c r="B212" s="618"/>
      <c r="C212" s="618"/>
      <c r="D212" s="618"/>
      <c r="E212" s="618"/>
      <c r="F212" s="618"/>
      <c r="G212" s="618"/>
      <c r="H212" s="618"/>
      <c r="I212" s="618"/>
      <c r="J212" s="618"/>
      <c r="K212" s="618"/>
      <c r="L212" s="618"/>
      <c r="M212" s="618"/>
      <c r="N212" s="618"/>
      <c r="O212" s="618"/>
      <c r="P212" s="618"/>
      <c r="Q212" s="618"/>
      <c r="R212" s="618"/>
      <c r="S212" s="618"/>
      <c r="T212" s="618"/>
      <c r="U212" s="618"/>
      <c r="V212" s="618"/>
      <c r="W212" s="618"/>
      <c r="X212" s="618"/>
      <c r="Y212" s="618"/>
      <c r="Z212" s="618"/>
    </row>
    <row r="213" spans="1:26" ht="15.75" customHeight="1">
      <c r="A213" s="617"/>
      <c r="B213" s="618"/>
      <c r="C213" s="618"/>
      <c r="D213" s="618"/>
      <c r="E213" s="618"/>
      <c r="F213" s="618"/>
      <c r="G213" s="618"/>
      <c r="H213" s="618"/>
      <c r="I213" s="618"/>
      <c r="J213" s="618"/>
      <c r="K213" s="618"/>
      <c r="L213" s="618"/>
      <c r="M213" s="618"/>
      <c r="N213" s="618"/>
      <c r="O213" s="618"/>
      <c r="P213" s="618"/>
      <c r="Q213" s="618"/>
      <c r="R213" s="618"/>
      <c r="S213" s="618"/>
      <c r="T213" s="618"/>
      <c r="U213" s="618"/>
      <c r="V213" s="618"/>
      <c r="W213" s="618"/>
      <c r="X213" s="618"/>
      <c r="Y213" s="618"/>
      <c r="Z213" s="618"/>
    </row>
    <row r="214" spans="1:26" ht="15.75" customHeight="1">
      <c r="A214" s="617"/>
      <c r="B214" s="618"/>
      <c r="C214" s="618"/>
      <c r="D214" s="618"/>
      <c r="E214" s="618"/>
      <c r="F214" s="618"/>
      <c r="G214" s="618"/>
      <c r="H214" s="618"/>
      <c r="I214" s="618"/>
      <c r="J214" s="618"/>
      <c r="K214" s="618"/>
      <c r="L214" s="618"/>
      <c r="M214" s="618"/>
      <c r="N214" s="618"/>
      <c r="O214" s="618"/>
      <c r="P214" s="618"/>
      <c r="Q214" s="618"/>
      <c r="R214" s="618"/>
      <c r="S214" s="618"/>
      <c r="T214" s="618"/>
      <c r="U214" s="618"/>
      <c r="V214" s="618"/>
      <c r="W214" s="618"/>
      <c r="X214" s="618"/>
      <c r="Y214" s="618"/>
      <c r="Z214" s="618"/>
    </row>
    <row r="215" spans="1:26" ht="15.75" customHeight="1">
      <c r="A215" s="617"/>
      <c r="B215" s="618"/>
      <c r="C215" s="618"/>
      <c r="D215" s="618"/>
      <c r="E215" s="618"/>
      <c r="F215" s="618"/>
      <c r="G215" s="618"/>
      <c r="H215" s="618"/>
      <c r="I215" s="618"/>
      <c r="J215" s="618"/>
      <c r="K215" s="618"/>
      <c r="L215" s="618"/>
      <c r="M215" s="618"/>
      <c r="N215" s="618"/>
      <c r="O215" s="618"/>
      <c r="P215" s="618"/>
      <c r="Q215" s="618"/>
      <c r="R215" s="618"/>
      <c r="S215" s="618"/>
      <c r="T215" s="618"/>
      <c r="U215" s="618"/>
      <c r="V215" s="618"/>
      <c r="W215" s="618"/>
      <c r="X215" s="618"/>
      <c r="Y215" s="618"/>
      <c r="Z215" s="618"/>
    </row>
    <row r="216" spans="1:26" ht="15.75" customHeight="1">
      <c r="A216" s="617"/>
      <c r="B216" s="618"/>
      <c r="C216" s="618"/>
      <c r="D216" s="618"/>
      <c r="E216" s="618"/>
      <c r="F216" s="618"/>
      <c r="G216" s="618"/>
      <c r="H216" s="618"/>
      <c r="I216" s="618"/>
      <c r="J216" s="618"/>
      <c r="K216" s="618"/>
      <c r="L216" s="618"/>
      <c r="M216" s="618"/>
      <c r="N216" s="618"/>
      <c r="O216" s="618"/>
      <c r="P216" s="618"/>
      <c r="Q216" s="618"/>
      <c r="R216" s="618"/>
      <c r="S216" s="618"/>
      <c r="T216" s="618"/>
      <c r="U216" s="618"/>
      <c r="V216" s="618"/>
      <c r="W216" s="618"/>
      <c r="X216" s="618"/>
      <c r="Y216" s="618"/>
      <c r="Z216" s="618"/>
    </row>
    <row r="217" spans="1:26" ht="15.75" customHeight="1">
      <c r="A217" s="617"/>
      <c r="B217" s="618"/>
      <c r="C217" s="618"/>
      <c r="D217" s="618"/>
      <c r="E217" s="618"/>
      <c r="F217" s="618"/>
      <c r="G217" s="618"/>
      <c r="H217" s="618"/>
      <c r="I217" s="618"/>
      <c r="J217" s="618"/>
      <c r="K217" s="618"/>
      <c r="L217" s="618"/>
      <c r="M217" s="618"/>
      <c r="N217" s="618"/>
      <c r="O217" s="618"/>
      <c r="P217" s="618"/>
      <c r="Q217" s="618"/>
      <c r="R217" s="618"/>
      <c r="S217" s="618"/>
      <c r="T217" s="618"/>
      <c r="U217" s="618"/>
      <c r="V217" s="618"/>
      <c r="W217" s="618"/>
      <c r="X217" s="618"/>
      <c r="Y217" s="618"/>
      <c r="Z217" s="618"/>
    </row>
    <row r="218" spans="1:26" ht="15.75" customHeight="1">
      <c r="A218" s="617"/>
      <c r="B218" s="618"/>
      <c r="C218" s="618"/>
      <c r="D218" s="618"/>
      <c r="E218" s="618"/>
      <c r="F218" s="618"/>
      <c r="G218" s="618"/>
      <c r="H218" s="618"/>
      <c r="I218" s="618"/>
      <c r="J218" s="618"/>
      <c r="K218" s="618"/>
      <c r="L218" s="618"/>
      <c r="M218" s="618"/>
      <c r="N218" s="618"/>
      <c r="O218" s="618"/>
      <c r="P218" s="618"/>
      <c r="Q218" s="618"/>
      <c r="R218" s="618"/>
      <c r="S218" s="618"/>
      <c r="T218" s="618"/>
      <c r="U218" s="618"/>
      <c r="V218" s="618"/>
      <c r="W218" s="618"/>
      <c r="X218" s="618"/>
      <c r="Y218" s="618"/>
      <c r="Z218" s="618"/>
    </row>
    <row r="219" spans="1:26" ht="15.75" customHeight="1">
      <c r="A219" s="617"/>
      <c r="B219" s="618"/>
      <c r="C219" s="618"/>
      <c r="D219" s="618"/>
      <c r="E219" s="618"/>
      <c r="F219" s="618"/>
      <c r="G219" s="618"/>
      <c r="H219" s="618"/>
      <c r="I219" s="618"/>
      <c r="J219" s="618"/>
      <c r="K219" s="618"/>
      <c r="L219" s="618"/>
      <c r="M219" s="618"/>
      <c r="N219" s="618"/>
      <c r="O219" s="618"/>
      <c r="P219" s="618"/>
      <c r="Q219" s="618"/>
      <c r="R219" s="618"/>
      <c r="S219" s="618"/>
      <c r="T219" s="618"/>
      <c r="U219" s="618"/>
      <c r="V219" s="618"/>
      <c r="W219" s="618"/>
      <c r="X219" s="618"/>
      <c r="Y219" s="618"/>
      <c r="Z219" s="618"/>
    </row>
    <row r="220" spans="1:26" ht="15.75" customHeight="1">
      <c r="A220" s="617"/>
      <c r="B220" s="618"/>
      <c r="C220" s="618"/>
      <c r="D220" s="618"/>
      <c r="E220" s="618"/>
      <c r="F220" s="618"/>
      <c r="G220" s="618"/>
      <c r="H220" s="618"/>
      <c r="I220" s="618"/>
      <c r="J220" s="618"/>
      <c r="K220" s="618"/>
      <c r="L220" s="618"/>
      <c r="M220" s="618"/>
      <c r="N220" s="618"/>
      <c r="O220" s="618"/>
      <c r="P220" s="618"/>
      <c r="Q220" s="618"/>
      <c r="R220" s="618"/>
      <c r="S220" s="618"/>
      <c r="T220" s="618"/>
      <c r="U220" s="618"/>
      <c r="V220" s="618"/>
      <c r="W220" s="618"/>
      <c r="X220" s="618"/>
      <c r="Y220" s="618"/>
      <c r="Z220" s="618"/>
    </row>
    <row r="221" spans="1:26" ht="15.75" customHeight="1">
      <c r="A221" s="617"/>
      <c r="B221" s="618"/>
      <c r="C221" s="618"/>
      <c r="D221" s="618"/>
      <c r="E221" s="618"/>
      <c r="F221" s="618"/>
      <c r="G221" s="618"/>
      <c r="H221" s="618"/>
      <c r="I221" s="618"/>
      <c r="J221" s="618"/>
      <c r="K221" s="618"/>
      <c r="L221" s="618"/>
      <c r="M221" s="618"/>
      <c r="N221" s="618"/>
      <c r="O221" s="618"/>
      <c r="P221" s="618"/>
      <c r="Q221" s="618"/>
      <c r="R221" s="618"/>
      <c r="S221" s="618"/>
      <c r="T221" s="618"/>
      <c r="U221" s="618"/>
      <c r="V221" s="618"/>
      <c r="W221" s="618"/>
      <c r="X221" s="618"/>
      <c r="Y221" s="618"/>
      <c r="Z221" s="618"/>
    </row>
    <row r="222" spans="1:26" ht="15.75" customHeight="1">
      <c r="A222" s="617"/>
      <c r="B222" s="618"/>
      <c r="C222" s="618"/>
      <c r="D222" s="618"/>
      <c r="E222" s="618"/>
      <c r="F222" s="618"/>
      <c r="G222" s="618"/>
      <c r="H222" s="618"/>
      <c r="I222" s="618"/>
      <c r="J222" s="618"/>
      <c r="K222" s="618"/>
      <c r="L222" s="618"/>
      <c r="M222" s="618"/>
      <c r="N222" s="618"/>
      <c r="O222" s="618"/>
      <c r="P222" s="618"/>
      <c r="Q222" s="618"/>
      <c r="R222" s="618"/>
      <c r="S222" s="618"/>
      <c r="T222" s="618"/>
      <c r="U222" s="618"/>
      <c r="V222" s="618"/>
      <c r="W222" s="618"/>
      <c r="X222" s="618"/>
      <c r="Y222" s="618"/>
      <c r="Z222" s="618"/>
    </row>
    <row r="223" spans="1:26" ht="15.75" customHeight="1">
      <c r="A223" s="617"/>
      <c r="B223" s="618"/>
      <c r="C223" s="618"/>
      <c r="D223" s="618"/>
      <c r="E223" s="618"/>
      <c r="F223" s="618"/>
      <c r="G223" s="618"/>
      <c r="H223" s="618"/>
      <c r="I223" s="618"/>
      <c r="J223" s="618"/>
      <c r="K223" s="618"/>
      <c r="L223" s="618"/>
      <c r="M223" s="618"/>
      <c r="N223" s="618"/>
      <c r="O223" s="618"/>
      <c r="P223" s="618"/>
      <c r="Q223" s="618"/>
      <c r="R223" s="618"/>
      <c r="S223" s="618"/>
      <c r="T223" s="618"/>
      <c r="U223" s="618"/>
      <c r="V223" s="618"/>
      <c r="W223" s="618"/>
      <c r="X223" s="618"/>
      <c r="Y223" s="618"/>
      <c r="Z223" s="618"/>
    </row>
    <row r="224" spans="1:26" ht="15.75" customHeight="1">
      <c r="A224" s="617"/>
      <c r="B224" s="618"/>
      <c r="C224" s="618"/>
      <c r="D224" s="618"/>
      <c r="E224" s="618"/>
      <c r="F224" s="618"/>
      <c r="G224" s="618"/>
      <c r="H224" s="618"/>
      <c r="I224" s="618"/>
      <c r="J224" s="618"/>
      <c r="K224" s="618"/>
      <c r="L224" s="618"/>
      <c r="M224" s="618"/>
      <c r="N224" s="618"/>
      <c r="O224" s="618"/>
      <c r="P224" s="618"/>
      <c r="Q224" s="618"/>
      <c r="R224" s="618"/>
      <c r="S224" s="618"/>
      <c r="T224" s="618"/>
      <c r="U224" s="618"/>
      <c r="V224" s="618"/>
      <c r="W224" s="618"/>
      <c r="X224" s="618"/>
      <c r="Y224" s="618"/>
      <c r="Z224" s="618"/>
    </row>
    <row r="225" spans="1:26" ht="15.75" customHeight="1">
      <c r="A225" s="617"/>
      <c r="B225" s="618"/>
      <c r="C225" s="618"/>
      <c r="D225" s="618"/>
      <c r="E225" s="618"/>
      <c r="F225" s="618"/>
      <c r="G225" s="618"/>
      <c r="H225" s="618"/>
      <c r="I225" s="618"/>
      <c r="J225" s="618"/>
      <c r="K225" s="618"/>
      <c r="L225" s="618"/>
      <c r="M225" s="618"/>
      <c r="N225" s="618"/>
      <c r="O225" s="618"/>
      <c r="P225" s="618"/>
      <c r="Q225" s="618"/>
      <c r="R225" s="618"/>
      <c r="S225" s="618"/>
      <c r="T225" s="618"/>
      <c r="U225" s="618"/>
      <c r="V225" s="618"/>
      <c r="W225" s="618"/>
      <c r="X225" s="618"/>
      <c r="Y225" s="618"/>
      <c r="Z225" s="618"/>
    </row>
    <row r="226" spans="1:26" ht="15.75" customHeight="1">
      <c r="A226" s="617"/>
      <c r="B226" s="618"/>
      <c r="C226" s="618"/>
      <c r="D226" s="618"/>
      <c r="E226" s="618"/>
      <c r="F226" s="618"/>
      <c r="G226" s="618"/>
      <c r="H226" s="618"/>
      <c r="I226" s="618"/>
      <c r="J226" s="618"/>
      <c r="K226" s="618"/>
      <c r="L226" s="618"/>
      <c r="M226" s="618"/>
      <c r="N226" s="618"/>
      <c r="O226" s="618"/>
      <c r="P226" s="618"/>
      <c r="Q226" s="618"/>
      <c r="R226" s="618"/>
      <c r="S226" s="618"/>
      <c r="T226" s="618"/>
      <c r="U226" s="618"/>
      <c r="V226" s="618"/>
      <c r="W226" s="618"/>
      <c r="X226" s="618"/>
      <c r="Y226" s="618"/>
      <c r="Z226" s="618"/>
    </row>
    <row r="227" spans="1:26" ht="15.75" customHeight="1">
      <c r="A227" s="617"/>
      <c r="B227" s="618"/>
      <c r="C227" s="618"/>
      <c r="D227" s="618"/>
      <c r="E227" s="618"/>
      <c r="F227" s="618"/>
      <c r="G227" s="618"/>
      <c r="H227" s="618"/>
      <c r="I227" s="618"/>
      <c r="J227" s="618"/>
      <c r="K227" s="618"/>
      <c r="L227" s="618"/>
      <c r="M227" s="618"/>
      <c r="N227" s="618"/>
      <c r="O227" s="618"/>
      <c r="P227" s="618"/>
      <c r="Q227" s="618"/>
      <c r="R227" s="618"/>
      <c r="S227" s="618"/>
      <c r="T227" s="618"/>
      <c r="U227" s="618"/>
      <c r="V227" s="618"/>
      <c r="W227" s="618"/>
      <c r="X227" s="618"/>
      <c r="Y227" s="618"/>
      <c r="Z227" s="618"/>
    </row>
    <row r="228" spans="1:26" ht="15.75" customHeight="1">
      <c r="A228" s="617"/>
      <c r="B228" s="618"/>
      <c r="C228" s="618"/>
      <c r="D228" s="618"/>
      <c r="E228" s="618"/>
      <c r="F228" s="618"/>
      <c r="G228" s="618"/>
      <c r="H228" s="618"/>
      <c r="I228" s="618"/>
      <c r="J228" s="618"/>
      <c r="K228" s="618"/>
      <c r="L228" s="618"/>
      <c r="M228" s="618"/>
      <c r="N228" s="618"/>
      <c r="O228" s="618"/>
      <c r="P228" s="618"/>
      <c r="Q228" s="618"/>
      <c r="R228" s="618"/>
      <c r="S228" s="618"/>
      <c r="T228" s="618"/>
      <c r="U228" s="618"/>
      <c r="V228" s="618"/>
      <c r="W228" s="618"/>
      <c r="X228" s="618"/>
      <c r="Y228" s="618"/>
      <c r="Z228" s="618"/>
    </row>
    <row r="229" spans="1:26" ht="15.75" customHeight="1">
      <c r="A229" s="617"/>
      <c r="B229" s="618"/>
      <c r="C229" s="618"/>
      <c r="D229" s="618"/>
      <c r="E229" s="618"/>
      <c r="F229" s="618"/>
      <c r="G229" s="618"/>
      <c r="H229" s="618"/>
      <c r="I229" s="618"/>
      <c r="J229" s="618"/>
      <c r="K229" s="618"/>
      <c r="L229" s="618"/>
      <c r="M229" s="618"/>
      <c r="N229" s="618"/>
      <c r="O229" s="618"/>
      <c r="P229" s="618"/>
      <c r="Q229" s="618"/>
      <c r="R229" s="618"/>
      <c r="S229" s="618"/>
      <c r="T229" s="618"/>
      <c r="U229" s="618"/>
      <c r="V229" s="618"/>
      <c r="W229" s="618"/>
      <c r="X229" s="618"/>
      <c r="Y229" s="618"/>
      <c r="Z229" s="618"/>
    </row>
    <row r="230" spans="1:26" ht="15.75" customHeight="1">
      <c r="A230" s="617"/>
      <c r="B230" s="618"/>
      <c r="C230" s="618"/>
      <c r="D230" s="618"/>
      <c r="E230" s="618"/>
      <c r="F230" s="618"/>
      <c r="G230" s="618"/>
      <c r="H230" s="618"/>
      <c r="I230" s="618"/>
      <c r="J230" s="618"/>
      <c r="K230" s="618"/>
      <c r="L230" s="618"/>
      <c r="M230" s="618"/>
      <c r="N230" s="618"/>
      <c r="O230" s="618"/>
      <c r="P230" s="618"/>
      <c r="Q230" s="618"/>
      <c r="R230" s="618"/>
      <c r="S230" s="618"/>
      <c r="T230" s="618"/>
      <c r="U230" s="618"/>
      <c r="V230" s="618"/>
      <c r="W230" s="618"/>
      <c r="X230" s="618"/>
      <c r="Y230" s="618"/>
      <c r="Z230" s="618"/>
    </row>
    <row r="231" spans="1:26" ht="15.75" customHeight="1">
      <c r="A231" s="617"/>
      <c r="B231" s="618"/>
      <c r="C231" s="618"/>
      <c r="D231" s="618"/>
      <c r="E231" s="618"/>
      <c r="F231" s="618"/>
      <c r="G231" s="618"/>
      <c r="H231" s="618"/>
      <c r="I231" s="618"/>
      <c r="J231" s="618"/>
      <c r="K231" s="618"/>
      <c r="L231" s="618"/>
      <c r="M231" s="618"/>
      <c r="N231" s="618"/>
      <c r="O231" s="618"/>
      <c r="P231" s="618"/>
      <c r="Q231" s="618"/>
      <c r="R231" s="618"/>
      <c r="S231" s="618"/>
      <c r="T231" s="618"/>
      <c r="U231" s="618"/>
      <c r="V231" s="618"/>
      <c r="W231" s="618"/>
      <c r="X231" s="618"/>
      <c r="Y231" s="618"/>
      <c r="Z231" s="618"/>
    </row>
    <row r="232" spans="1:26" ht="15.75" customHeight="1">
      <c r="A232" s="617"/>
      <c r="B232" s="618"/>
      <c r="C232" s="618"/>
      <c r="D232" s="618"/>
      <c r="E232" s="618"/>
      <c r="F232" s="618"/>
      <c r="G232" s="618"/>
      <c r="H232" s="618"/>
      <c r="I232" s="618"/>
      <c r="J232" s="618"/>
      <c r="K232" s="618"/>
      <c r="L232" s="618"/>
      <c r="M232" s="618"/>
      <c r="N232" s="618"/>
      <c r="O232" s="618"/>
      <c r="P232" s="618"/>
      <c r="Q232" s="618"/>
      <c r="R232" s="618"/>
      <c r="S232" s="618"/>
      <c r="T232" s="618"/>
      <c r="U232" s="618"/>
      <c r="V232" s="618"/>
      <c r="W232" s="618"/>
      <c r="X232" s="618"/>
      <c r="Y232" s="618"/>
      <c r="Z232" s="618"/>
    </row>
    <row r="233" spans="1:26" ht="15.75" customHeight="1">
      <c r="A233" s="617"/>
      <c r="B233" s="618"/>
      <c r="C233" s="618"/>
      <c r="D233" s="618"/>
      <c r="E233" s="618"/>
      <c r="F233" s="618"/>
      <c r="G233" s="618"/>
      <c r="H233" s="618"/>
      <c r="I233" s="618"/>
      <c r="J233" s="618"/>
      <c r="K233" s="618"/>
      <c r="L233" s="618"/>
      <c r="M233" s="618"/>
      <c r="N233" s="618"/>
      <c r="O233" s="618"/>
      <c r="P233" s="618"/>
      <c r="Q233" s="618"/>
      <c r="R233" s="618"/>
      <c r="S233" s="618"/>
      <c r="T233" s="618"/>
      <c r="U233" s="618"/>
      <c r="V233" s="618"/>
      <c r="W233" s="618"/>
      <c r="X233" s="618"/>
      <c r="Y233" s="618"/>
      <c r="Z233" s="618"/>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D21:D23"/>
    <mergeCell ref="E21:E23"/>
    <mergeCell ref="F21:F23"/>
    <mergeCell ref="B27:F27"/>
    <mergeCell ref="B33:E33"/>
    <mergeCell ref="B18:F18"/>
    <mergeCell ref="B4:C4"/>
    <mergeCell ref="B10:F10"/>
    <mergeCell ref="D13:D15"/>
    <mergeCell ref="E13:E15"/>
    <mergeCell ref="F13:F15"/>
  </mergeCells>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6B4EF-A7D1-42E7-A34E-026B89A4D627}">
  <sheetPr>
    <tabColor theme="5" tint="0.59999389629810485"/>
    <outlinePr summaryBelow="0" summaryRight="0"/>
  </sheetPr>
  <dimension ref="A1:AF1000"/>
  <sheetViews>
    <sheetView workbookViewId="0">
      <selection activeCell="G15" sqref="G15"/>
    </sheetView>
  </sheetViews>
  <sheetFormatPr defaultColWidth="12.6640625" defaultRowHeight="15" customHeight="1"/>
  <cols>
    <col min="1" max="6" width="12.6640625" style="535" customWidth="1"/>
    <col min="7" max="16384" width="12.6640625" style="535"/>
  </cols>
  <sheetData>
    <row r="1" spans="1:32" ht="15.75" customHeight="1">
      <c r="A1" s="534"/>
      <c r="B1" s="534"/>
      <c r="C1" s="534"/>
      <c r="D1" s="534"/>
      <c r="E1" s="534"/>
      <c r="F1" s="534"/>
      <c r="G1" s="534"/>
      <c r="H1" s="534"/>
      <c r="I1" s="534"/>
      <c r="J1" s="534"/>
      <c r="K1" s="534"/>
      <c r="L1" s="534"/>
      <c r="M1" s="534"/>
      <c r="N1" s="534"/>
      <c r="O1" s="534"/>
      <c r="P1" s="534"/>
      <c r="Q1" s="534"/>
      <c r="R1" s="534"/>
      <c r="S1" s="534"/>
      <c r="T1" s="534"/>
      <c r="U1" s="534"/>
      <c r="V1" s="534"/>
      <c r="W1" s="643"/>
      <c r="X1" s="643"/>
      <c r="Y1" s="534"/>
      <c r="Z1" s="534"/>
      <c r="AA1" s="534"/>
      <c r="AB1" s="534"/>
      <c r="AC1" s="534"/>
      <c r="AD1" s="534"/>
      <c r="AE1" s="534"/>
      <c r="AF1" s="534"/>
    </row>
    <row r="2" spans="1:32" ht="15.75" customHeight="1">
      <c r="A2" s="534"/>
      <c r="B2" s="760" t="s">
        <v>591</v>
      </c>
      <c r="C2" s="761"/>
      <c r="D2" s="761"/>
      <c r="E2" s="761"/>
      <c r="F2" s="761"/>
      <c r="G2" s="761"/>
      <c r="H2" s="761"/>
      <c r="I2" s="534"/>
      <c r="J2" s="534"/>
      <c r="K2" s="534"/>
      <c r="L2" s="534"/>
      <c r="M2" s="534"/>
      <c r="N2" s="534"/>
      <c r="O2" s="534"/>
      <c r="P2" s="534"/>
      <c r="Q2" s="534"/>
      <c r="R2" s="534"/>
      <c r="S2" s="534"/>
      <c r="T2" s="534"/>
      <c r="U2" s="534"/>
      <c r="V2" s="534"/>
      <c r="W2" s="643"/>
      <c r="X2" s="643"/>
      <c r="Y2" s="534"/>
      <c r="Z2" s="534"/>
      <c r="AA2" s="534"/>
      <c r="AB2" s="534"/>
      <c r="AC2" s="534"/>
      <c r="AD2" s="534"/>
      <c r="AE2" s="534"/>
      <c r="AF2" s="534"/>
    </row>
    <row r="3" spans="1:32" ht="15.75" customHeight="1">
      <c r="A3" s="534"/>
      <c r="B3" s="644"/>
      <c r="C3" s="534"/>
      <c r="D3" s="534"/>
      <c r="E3" s="534"/>
      <c r="F3" s="534"/>
      <c r="G3" s="534"/>
      <c r="H3" s="534"/>
      <c r="I3" s="534"/>
      <c r="J3" s="534"/>
      <c r="K3" s="534"/>
      <c r="L3" s="534"/>
      <c r="M3" s="534"/>
      <c r="N3" s="534"/>
      <c r="O3" s="534"/>
      <c r="P3" s="534"/>
      <c r="Q3" s="534"/>
      <c r="R3" s="534"/>
      <c r="S3" s="534"/>
      <c r="T3" s="534"/>
      <c r="U3" s="534"/>
      <c r="V3" s="534"/>
      <c r="W3" s="643"/>
      <c r="X3" s="643"/>
      <c r="Y3" s="534"/>
      <c r="Z3" s="534"/>
      <c r="AA3" s="534"/>
      <c r="AB3" s="534"/>
      <c r="AC3" s="534"/>
      <c r="AD3" s="534"/>
      <c r="AE3" s="534"/>
      <c r="AF3" s="534"/>
    </row>
    <row r="4" spans="1:32" ht="15.75" customHeight="1">
      <c r="A4" s="534"/>
      <c r="B4" s="534"/>
      <c r="C4" s="534"/>
      <c r="D4" s="534"/>
      <c r="E4" s="534"/>
      <c r="F4" s="534"/>
      <c r="G4" s="534"/>
      <c r="H4" s="534"/>
      <c r="I4" s="534"/>
      <c r="J4" s="534"/>
      <c r="K4" s="534"/>
      <c r="L4" s="534"/>
      <c r="M4" s="534"/>
      <c r="N4" s="534"/>
      <c r="O4" s="534"/>
      <c r="P4" s="534"/>
      <c r="Q4" s="534"/>
      <c r="R4" s="534"/>
      <c r="S4" s="534"/>
      <c r="T4" s="534"/>
      <c r="U4" s="534"/>
      <c r="V4" s="534"/>
      <c r="W4" s="643"/>
      <c r="X4" s="643"/>
      <c r="Y4" s="534"/>
      <c r="Z4" s="534"/>
      <c r="AA4" s="534"/>
      <c r="AB4" s="534"/>
      <c r="AC4" s="534"/>
      <c r="AD4" s="534"/>
      <c r="AE4" s="534"/>
      <c r="AF4" s="534"/>
    </row>
    <row r="5" spans="1:32" ht="36.75" customHeight="1">
      <c r="A5" s="645"/>
      <c r="B5" s="762" t="s">
        <v>8</v>
      </c>
      <c r="C5" s="764" t="s">
        <v>592</v>
      </c>
      <c r="D5" s="750"/>
      <c r="E5" s="751"/>
      <c r="F5" s="765" t="s">
        <v>593</v>
      </c>
      <c r="G5" s="750"/>
      <c r="H5" s="750"/>
      <c r="I5" s="751"/>
      <c r="J5" s="765" t="s">
        <v>594</v>
      </c>
      <c r="K5" s="750"/>
      <c r="L5" s="751"/>
      <c r="M5" s="765" t="s">
        <v>595</v>
      </c>
      <c r="N5" s="750"/>
      <c r="O5" s="750"/>
      <c r="P5" s="751"/>
      <c r="Q5" s="765" t="s">
        <v>596</v>
      </c>
      <c r="R5" s="750"/>
      <c r="S5" s="750"/>
      <c r="T5" s="751"/>
      <c r="U5" s="765" t="s">
        <v>597</v>
      </c>
      <c r="V5" s="750"/>
      <c r="W5" s="750"/>
      <c r="X5" s="751"/>
      <c r="Y5" s="533"/>
      <c r="Z5" s="533"/>
      <c r="AA5" s="533"/>
      <c r="AB5" s="533"/>
      <c r="AC5" s="533"/>
      <c r="AD5" s="533"/>
      <c r="AE5" s="533"/>
      <c r="AF5" s="646"/>
    </row>
    <row r="6" spans="1:32" ht="51.75" customHeight="1">
      <c r="A6" s="645"/>
      <c r="B6" s="763"/>
      <c r="C6" s="647" t="s">
        <v>598</v>
      </c>
      <c r="D6" s="648" t="s">
        <v>599</v>
      </c>
      <c r="E6" s="648" t="s">
        <v>600</v>
      </c>
      <c r="F6" s="648" t="s">
        <v>601</v>
      </c>
      <c r="G6" s="648" t="s">
        <v>602</v>
      </c>
      <c r="H6" s="648" t="s">
        <v>603</v>
      </c>
      <c r="I6" s="648" t="s">
        <v>604</v>
      </c>
      <c r="J6" s="648" t="s">
        <v>598</v>
      </c>
      <c r="K6" s="648" t="s">
        <v>599</v>
      </c>
      <c r="L6" s="648" t="s">
        <v>600</v>
      </c>
      <c r="M6" s="648" t="s">
        <v>601</v>
      </c>
      <c r="N6" s="648" t="s">
        <v>602</v>
      </c>
      <c r="O6" s="648" t="s">
        <v>603</v>
      </c>
      <c r="P6" s="648" t="s">
        <v>604</v>
      </c>
      <c r="Q6" s="648" t="s">
        <v>598</v>
      </c>
      <c r="R6" s="648" t="s">
        <v>605</v>
      </c>
      <c r="S6" s="648" t="s">
        <v>599</v>
      </c>
      <c r="T6" s="648" t="s">
        <v>600</v>
      </c>
      <c r="U6" s="648" t="s">
        <v>601</v>
      </c>
      <c r="V6" s="648" t="s">
        <v>602</v>
      </c>
      <c r="W6" s="648" t="s">
        <v>603</v>
      </c>
      <c r="X6" s="648" t="s">
        <v>604</v>
      </c>
      <c r="Y6" s="645"/>
      <c r="Z6" s="645"/>
      <c r="AA6" s="645"/>
      <c r="AB6" s="645"/>
      <c r="AC6" s="645"/>
      <c r="AD6" s="645"/>
      <c r="AE6" s="645"/>
      <c r="AF6" s="649"/>
    </row>
    <row r="7" spans="1:32" ht="36.75" customHeight="1">
      <c r="A7" s="645"/>
      <c r="B7" s="650" t="s">
        <v>0</v>
      </c>
      <c r="C7" s="650">
        <v>41.24</v>
      </c>
      <c r="D7" s="651">
        <v>4.1399999999999997</v>
      </c>
      <c r="E7" s="651">
        <v>3.83</v>
      </c>
      <c r="F7" s="652">
        <f>(C7/100)*D17</f>
        <v>6.1860000000000005E-2</v>
      </c>
      <c r="G7" s="652">
        <f>(D7/100)*D15</f>
        <v>1.6560000000000002E-2</v>
      </c>
      <c r="H7" s="652">
        <f>(E7/100)*D16</f>
        <v>9.1920000000000005E-3</v>
      </c>
      <c r="I7" s="653">
        <f>SUM(F7:H7)</f>
        <v>8.7612000000000009E-2</v>
      </c>
      <c r="J7" s="651">
        <v>41.8</v>
      </c>
      <c r="K7" s="651">
        <v>5.78</v>
      </c>
      <c r="L7" s="651">
        <v>3.5</v>
      </c>
      <c r="M7" s="652">
        <f>(J7/100)*D17</f>
        <v>6.2699999999999992E-2</v>
      </c>
      <c r="N7" s="652">
        <f>(K7/100)*D15</f>
        <v>2.3120000000000002E-2</v>
      </c>
      <c r="O7" s="652">
        <f>(L7/100)*D16</f>
        <v>8.4000000000000012E-3</v>
      </c>
      <c r="P7" s="653">
        <f>SUM(M7:O7)</f>
        <v>9.4219999999999998E-2</v>
      </c>
      <c r="Q7" s="651">
        <v>65.150000000000006</v>
      </c>
      <c r="R7" s="651">
        <v>16.86</v>
      </c>
      <c r="S7" s="651">
        <v>5.87</v>
      </c>
      <c r="T7" s="651">
        <v>3.24</v>
      </c>
      <c r="U7" s="652">
        <f>(Q7/100)*D17</f>
        <v>9.7725000000000006E-2</v>
      </c>
      <c r="V7" s="652">
        <f>(S7/100)*D15</f>
        <v>2.3480000000000001E-2</v>
      </c>
      <c r="W7" s="652">
        <f>(T7/100)*D16</f>
        <v>7.7760000000000008E-3</v>
      </c>
      <c r="X7" s="653">
        <f>SUM(U7:W7)</f>
        <v>0.12898100000000001</v>
      </c>
      <c r="Y7" s="645"/>
      <c r="Z7" s="645"/>
      <c r="AA7" s="645"/>
      <c r="AB7" s="645"/>
      <c r="AC7" s="645"/>
      <c r="AD7" s="645"/>
      <c r="AE7" s="645"/>
      <c r="AF7" s="654"/>
    </row>
    <row r="8" spans="1:32" ht="15.75" customHeight="1">
      <c r="A8" s="534"/>
      <c r="B8" s="534"/>
      <c r="C8" s="766"/>
      <c r="D8" s="761"/>
      <c r="E8" s="761"/>
      <c r="F8" s="761"/>
      <c r="G8" s="761"/>
      <c r="H8" s="761"/>
      <c r="I8" s="761"/>
      <c r="J8" s="643"/>
      <c r="K8" s="534"/>
      <c r="L8" s="534"/>
      <c r="M8" s="534"/>
      <c r="N8" s="534"/>
      <c r="O8" s="534"/>
      <c r="P8" s="534"/>
      <c r="Q8" s="643"/>
      <c r="R8" s="534"/>
      <c r="S8" s="534"/>
      <c r="T8" s="534"/>
      <c r="U8" s="534"/>
      <c r="V8" s="534"/>
      <c r="W8" s="643"/>
      <c r="X8" s="643"/>
      <c r="Y8" s="534"/>
      <c r="Z8" s="534"/>
      <c r="AA8" s="534"/>
      <c r="AB8" s="534"/>
      <c r="AC8" s="534"/>
      <c r="AD8" s="534"/>
      <c r="AE8" s="534"/>
      <c r="AF8" s="534"/>
    </row>
    <row r="9" spans="1:32" ht="30.75" customHeight="1">
      <c r="A9" s="534"/>
      <c r="B9" s="767" t="s">
        <v>606</v>
      </c>
      <c r="C9" s="761"/>
      <c r="D9" s="761"/>
      <c r="E9" s="761"/>
      <c r="F9" s="761"/>
      <c r="G9" s="761"/>
      <c r="H9" s="655"/>
      <c r="I9" s="655"/>
      <c r="J9" s="655"/>
      <c r="K9" s="655"/>
      <c r="L9" s="655"/>
      <c r="M9" s="656"/>
      <c r="N9" s="656"/>
      <c r="O9" s="656"/>
      <c r="P9" s="656"/>
      <c r="Q9" s="656"/>
      <c r="R9" s="656"/>
      <c r="S9" s="656"/>
      <c r="T9" s="656"/>
      <c r="U9" s="656"/>
      <c r="V9" s="656"/>
      <c r="W9" s="656"/>
      <c r="X9" s="656"/>
      <c r="Y9" s="656"/>
      <c r="Z9" s="534"/>
      <c r="AA9" s="534"/>
      <c r="AB9" s="534"/>
      <c r="AC9" s="534"/>
      <c r="AD9" s="534"/>
      <c r="AE9" s="534"/>
      <c r="AF9" s="534"/>
    </row>
    <row r="10" spans="1:32" ht="51.75" customHeight="1">
      <c r="A10" s="534"/>
      <c r="B10" s="768" t="s">
        <v>607</v>
      </c>
      <c r="C10" s="761"/>
      <c r="D10" s="761"/>
      <c r="E10" s="761"/>
      <c r="F10" s="761"/>
      <c r="G10" s="761"/>
      <c r="H10" s="761"/>
      <c r="I10" s="761"/>
      <c r="J10" s="761"/>
      <c r="K10" s="761"/>
      <c r="L10" s="761"/>
      <c r="M10" s="656"/>
      <c r="N10" s="656"/>
      <c r="O10" s="656"/>
      <c r="P10" s="656"/>
      <c r="Q10" s="656"/>
      <c r="R10" s="656"/>
      <c r="S10" s="656"/>
      <c r="T10" s="656"/>
      <c r="U10" s="656"/>
      <c r="V10" s="656"/>
      <c r="W10" s="656"/>
      <c r="X10" s="656"/>
      <c r="Y10" s="656"/>
      <c r="Z10" s="534"/>
      <c r="AA10" s="534"/>
      <c r="AB10" s="534"/>
      <c r="AC10" s="534"/>
      <c r="AD10" s="534"/>
      <c r="AE10" s="534"/>
      <c r="AF10" s="534"/>
    </row>
    <row r="11" spans="1:32" ht="30" customHeight="1">
      <c r="A11" s="534"/>
      <c r="B11" s="646"/>
      <c r="C11" s="646"/>
      <c r="D11" s="646"/>
      <c r="E11" s="646"/>
      <c r="F11" s="646"/>
      <c r="G11" s="646"/>
      <c r="H11" s="657"/>
      <c r="I11" s="657"/>
      <c r="J11" s="657"/>
      <c r="K11" s="657"/>
      <c r="L11" s="657"/>
      <c r="M11" s="656"/>
      <c r="N11" s="656"/>
      <c r="O11" s="656"/>
      <c r="P11" s="656"/>
      <c r="Q11" s="656"/>
      <c r="R11" s="656"/>
      <c r="S11" s="656"/>
      <c r="T11" s="656"/>
      <c r="U11" s="656"/>
      <c r="V11" s="656"/>
      <c r="W11" s="656"/>
      <c r="X11" s="656"/>
      <c r="Y11" s="656"/>
      <c r="Z11" s="534"/>
      <c r="AA11" s="534"/>
      <c r="AB11" s="534"/>
      <c r="AC11" s="534"/>
      <c r="AD11" s="534"/>
      <c r="AE11" s="534"/>
      <c r="AF11" s="534"/>
    </row>
    <row r="12" spans="1:32" ht="15.75" customHeight="1">
      <c r="A12" s="534"/>
      <c r="B12" s="760" t="s">
        <v>608</v>
      </c>
      <c r="C12" s="761"/>
      <c r="D12" s="761"/>
      <c r="E12" s="761"/>
      <c r="F12" s="761"/>
      <c r="G12" s="761"/>
      <c r="H12" s="534"/>
      <c r="I12" s="534"/>
      <c r="J12" s="534"/>
      <c r="K12" s="534"/>
      <c r="L12" s="534"/>
      <c r="M12" s="534"/>
      <c r="N12" s="534"/>
      <c r="O12" s="534"/>
      <c r="P12" s="534"/>
      <c r="Q12" s="534"/>
      <c r="R12" s="534"/>
      <c r="S12" s="534"/>
      <c r="T12" s="534"/>
      <c r="U12" s="534"/>
      <c r="V12" s="534"/>
      <c r="W12" s="643"/>
      <c r="X12" s="643"/>
      <c r="Y12" s="534"/>
      <c r="Z12" s="534"/>
      <c r="AA12" s="534"/>
      <c r="AB12" s="534"/>
      <c r="AC12" s="534"/>
      <c r="AD12" s="534"/>
      <c r="AE12" s="534"/>
      <c r="AF12" s="534"/>
    </row>
    <row r="13" spans="1:32" ht="15.75" customHeight="1">
      <c r="A13" s="534"/>
      <c r="B13" s="534"/>
      <c r="C13" s="534"/>
      <c r="D13" s="534"/>
      <c r="E13" s="534"/>
      <c r="F13" s="534"/>
      <c r="G13" s="534"/>
      <c r="H13" s="534"/>
      <c r="I13" s="534"/>
      <c r="J13" s="534"/>
      <c r="K13" s="534"/>
      <c r="L13" s="534"/>
      <c r="M13" s="534"/>
      <c r="N13" s="534"/>
      <c r="O13" s="534"/>
      <c r="P13" s="534"/>
      <c r="Q13" s="534"/>
      <c r="R13" s="534"/>
      <c r="S13" s="534"/>
      <c r="T13" s="534"/>
      <c r="U13" s="534"/>
      <c r="V13" s="534"/>
      <c r="W13" s="643"/>
      <c r="X13" s="643"/>
      <c r="Y13" s="534"/>
      <c r="Z13" s="534"/>
      <c r="AA13" s="534"/>
      <c r="AB13" s="534"/>
      <c r="AC13" s="534"/>
      <c r="AD13" s="534"/>
      <c r="AE13" s="534"/>
      <c r="AF13" s="534"/>
    </row>
    <row r="14" spans="1:32" ht="15.75" customHeight="1">
      <c r="A14" s="534"/>
      <c r="B14" s="771" t="s">
        <v>609</v>
      </c>
      <c r="C14" s="751"/>
      <c r="D14" s="772" t="s">
        <v>610</v>
      </c>
      <c r="E14" s="751"/>
      <c r="F14" s="534"/>
      <c r="G14" s="534"/>
      <c r="H14" s="534"/>
      <c r="I14" s="534"/>
      <c r="J14" s="534"/>
      <c r="K14" s="534"/>
      <c r="L14" s="534"/>
      <c r="M14" s="534"/>
      <c r="N14" s="534"/>
      <c r="O14" s="534"/>
      <c r="P14" s="534"/>
      <c r="Q14" s="534"/>
      <c r="R14" s="534"/>
      <c r="S14" s="534"/>
      <c r="T14" s="534"/>
      <c r="U14" s="534"/>
      <c r="V14" s="534"/>
      <c r="W14" s="643"/>
      <c r="X14" s="643"/>
      <c r="Y14" s="534"/>
      <c r="Z14" s="534"/>
      <c r="AA14" s="534"/>
      <c r="AB14" s="534"/>
      <c r="AC14" s="534"/>
      <c r="AD14" s="534"/>
      <c r="AE14" s="534"/>
      <c r="AF14" s="534"/>
    </row>
    <row r="15" spans="1:32" ht="15.75" customHeight="1">
      <c r="A15" s="534"/>
      <c r="B15" s="769" t="s">
        <v>602</v>
      </c>
      <c r="C15" s="751"/>
      <c r="D15" s="770">
        <v>0.4</v>
      </c>
      <c r="E15" s="754"/>
      <c r="F15" s="534"/>
      <c r="G15" s="534"/>
      <c r="H15" s="534"/>
      <c r="I15" s="534"/>
      <c r="J15" s="534"/>
      <c r="K15" s="534"/>
      <c r="L15" s="534"/>
      <c r="M15" s="534"/>
      <c r="N15" s="534"/>
      <c r="O15" s="534"/>
      <c r="P15" s="534"/>
      <c r="Q15" s="534"/>
      <c r="R15" s="534"/>
      <c r="S15" s="534"/>
      <c r="T15" s="534"/>
      <c r="U15" s="534"/>
      <c r="V15" s="534"/>
      <c r="W15" s="643"/>
      <c r="X15" s="643"/>
      <c r="Y15" s="534"/>
      <c r="Z15" s="534"/>
      <c r="AA15" s="534"/>
      <c r="AB15" s="534"/>
      <c r="AC15" s="534"/>
      <c r="AD15" s="534"/>
      <c r="AE15" s="534"/>
      <c r="AF15" s="534"/>
    </row>
    <row r="16" spans="1:32" ht="15.75" customHeight="1">
      <c r="A16" s="534"/>
      <c r="B16" s="769" t="s">
        <v>611</v>
      </c>
      <c r="C16" s="751"/>
      <c r="D16" s="770">
        <v>0.24</v>
      </c>
      <c r="E16" s="754"/>
      <c r="F16" s="534"/>
      <c r="G16" s="534"/>
      <c r="H16" s="534"/>
      <c r="I16" s="534"/>
      <c r="J16" s="534"/>
      <c r="K16" s="534"/>
      <c r="L16" s="534"/>
      <c r="M16" s="534"/>
      <c r="N16" s="534"/>
      <c r="O16" s="534"/>
      <c r="P16" s="534"/>
      <c r="Q16" s="534"/>
      <c r="R16" s="534"/>
      <c r="S16" s="534"/>
      <c r="T16" s="534"/>
      <c r="U16" s="534"/>
      <c r="V16" s="534"/>
      <c r="W16" s="643"/>
      <c r="X16" s="643"/>
      <c r="Y16" s="534"/>
      <c r="Z16" s="534"/>
      <c r="AA16" s="534"/>
      <c r="AB16" s="534"/>
      <c r="AC16" s="534"/>
      <c r="AD16" s="534"/>
      <c r="AE16" s="534"/>
      <c r="AF16" s="534"/>
    </row>
    <row r="17" spans="1:32" ht="15.75" customHeight="1">
      <c r="A17" s="534"/>
      <c r="B17" s="769" t="s">
        <v>612</v>
      </c>
      <c r="C17" s="751"/>
      <c r="D17" s="770">
        <v>0.15</v>
      </c>
      <c r="E17" s="754"/>
      <c r="F17" s="534"/>
      <c r="G17" s="534"/>
      <c r="H17" s="534"/>
      <c r="I17" s="534"/>
      <c r="J17" s="534"/>
      <c r="K17" s="534"/>
      <c r="L17" s="534"/>
      <c r="M17" s="534"/>
      <c r="N17" s="534"/>
      <c r="O17" s="534"/>
      <c r="P17" s="534"/>
      <c r="Q17" s="534"/>
      <c r="R17" s="534"/>
      <c r="S17" s="534"/>
      <c r="T17" s="534"/>
      <c r="U17" s="534"/>
      <c r="V17" s="534"/>
      <c r="W17" s="643"/>
      <c r="X17" s="643"/>
      <c r="Y17" s="534"/>
      <c r="Z17" s="534"/>
      <c r="AA17" s="534"/>
      <c r="AB17" s="534"/>
      <c r="AC17" s="534"/>
      <c r="AD17" s="534"/>
      <c r="AE17" s="534"/>
      <c r="AF17" s="534"/>
    </row>
    <row r="18" spans="1:32" ht="15.75" customHeight="1">
      <c r="A18" s="534"/>
      <c r="B18" s="534"/>
      <c r="C18" s="534"/>
      <c r="D18" s="534"/>
      <c r="E18" s="534"/>
      <c r="F18" s="534"/>
      <c r="G18" s="534"/>
      <c r="H18" s="534"/>
      <c r="I18" s="534"/>
      <c r="J18" s="534"/>
      <c r="K18" s="534"/>
      <c r="L18" s="534"/>
      <c r="M18" s="534"/>
      <c r="N18" s="534"/>
      <c r="O18" s="534"/>
      <c r="P18" s="534"/>
      <c r="Q18" s="534"/>
      <c r="R18" s="534"/>
      <c r="S18" s="534"/>
      <c r="T18" s="534"/>
      <c r="U18" s="534"/>
      <c r="V18" s="534"/>
      <c r="W18" s="643"/>
      <c r="X18" s="643"/>
      <c r="Y18" s="534"/>
      <c r="Z18" s="534"/>
      <c r="AA18" s="534"/>
      <c r="AB18" s="534"/>
      <c r="AC18" s="534"/>
      <c r="AD18" s="534"/>
      <c r="AE18" s="534"/>
      <c r="AF18" s="534"/>
    </row>
    <row r="19" spans="1:32" ht="15.75" customHeight="1">
      <c r="A19" s="534"/>
      <c r="B19" s="534"/>
      <c r="C19" s="534"/>
      <c r="D19" s="534"/>
      <c r="E19" s="534"/>
      <c r="F19" s="534"/>
      <c r="G19" s="534"/>
      <c r="H19" s="534"/>
      <c r="I19" s="534"/>
      <c r="J19" s="534"/>
      <c r="K19" s="534"/>
      <c r="L19" s="534"/>
      <c r="M19" s="534"/>
      <c r="N19" s="534"/>
      <c r="O19" s="534"/>
      <c r="P19" s="534"/>
      <c r="Q19" s="534"/>
      <c r="R19" s="534"/>
      <c r="S19" s="534"/>
      <c r="T19" s="534"/>
      <c r="U19" s="534"/>
      <c r="V19" s="534"/>
      <c r="W19" s="643"/>
      <c r="X19" s="643"/>
      <c r="Y19" s="534"/>
      <c r="Z19" s="534"/>
      <c r="AA19" s="534"/>
      <c r="AB19" s="534"/>
      <c r="AC19" s="534"/>
      <c r="AD19" s="534"/>
      <c r="AE19" s="534"/>
      <c r="AF19" s="534"/>
    </row>
    <row r="20" spans="1:32" ht="15.75" customHeight="1">
      <c r="A20" s="549"/>
      <c r="B20" s="549"/>
      <c r="C20" s="549"/>
      <c r="D20" s="549"/>
      <c r="E20" s="549"/>
      <c r="F20" s="549"/>
      <c r="G20" s="549"/>
      <c r="H20" s="549"/>
      <c r="I20" s="549"/>
      <c r="J20" s="549"/>
      <c r="K20" s="549"/>
      <c r="L20" s="549"/>
      <c r="M20" s="549"/>
      <c r="N20" s="549"/>
      <c r="O20" s="549"/>
      <c r="P20" s="549"/>
      <c r="Q20" s="549"/>
      <c r="R20" s="549"/>
      <c r="S20" s="549"/>
      <c r="T20" s="549"/>
      <c r="U20" s="549"/>
      <c r="V20" s="549"/>
      <c r="W20" s="549"/>
      <c r="X20" s="549"/>
      <c r="Y20" s="549"/>
      <c r="Z20" s="549"/>
      <c r="AA20" s="549"/>
      <c r="AB20" s="549"/>
      <c r="AC20" s="549"/>
      <c r="AD20" s="549"/>
      <c r="AE20" s="549"/>
      <c r="AF20" s="549"/>
    </row>
    <row r="21" spans="1:32" ht="15.75" customHeight="1">
      <c r="A21" s="549"/>
      <c r="B21" s="549"/>
      <c r="C21" s="549"/>
      <c r="D21" s="549"/>
      <c r="E21" s="549"/>
      <c r="F21" s="549"/>
      <c r="G21" s="549"/>
      <c r="H21" s="549"/>
      <c r="I21" s="549"/>
      <c r="J21" s="549"/>
      <c r="K21" s="549"/>
      <c r="L21" s="549"/>
      <c r="M21" s="549"/>
      <c r="N21" s="549"/>
      <c r="O21" s="549"/>
      <c r="P21" s="549"/>
      <c r="Q21" s="549"/>
      <c r="R21" s="549"/>
      <c r="S21" s="549"/>
      <c r="T21" s="549"/>
      <c r="U21" s="549"/>
      <c r="V21" s="549"/>
      <c r="W21" s="549"/>
      <c r="X21" s="549"/>
      <c r="Y21" s="549"/>
      <c r="Z21" s="549"/>
      <c r="AA21" s="549"/>
      <c r="AB21" s="549"/>
      <c r="AC21" s="549"/>
      <c r="AD21" s="549"/>
      <c r="AE21" s="549"/>
      <c r="AF21" s="549"/>
    </row>
    <row r="22" spans="1:32" ht="15.75" customHeight="1">
      <c r="A22" s="549"/>
      <c r="B22" s="549"/>
      <c r="C22" s="549"/>
      <c r="D22" s="549"/>
      <c r="E22" s="549"/>
      <c r="F22" s="549"/>
      <c r="G22" s="549"/>
      <c r="H22" s="54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row>
    <row r="23" spans="1:32" ht="15.75" customHeight="1">
      <c r="A23" s="549"/>
      <c r="B23" s="549"/>
      <c r="C23" s="549"/>
      <c r="D23" s="549"/>
      <c r="E23" s="549"/>
      <c r="F23" s="549"/>
      <c r="G23" s="549"/>
      <c r="H23" s="549"/>
      <c r="I23" s="549"/>
      <c r="J23" s="549"/>
      <c r="K23" s="549"/>
      <c r="L23" s="549"/>
      <c r="M23" s="549"/>
      <c r="N23" s="549"/>
      <c r="O23" s="549"/>
      <c r="P23" s="549"/>
      <c r="Q23" s="549"/>
      <c r="R23" s="549"/>
      <c r="S23" s="549"/>
      <c r="T23" s="549"/>
      <c r="U23" s="549"/>
      <c r="V23" s="549"/>
      <c r="W23" s="549"/>
      <c r="X23" s="549"/>
      <c r="Y23" s="549"/>
      <c r="Z23" s="549"/>
      <c r="AA23" s="549"/>
      <c r="AB23" s="549"/>
      <c r="AC23" s="549"/>
      <c r="AD23" s="549"/>
      <c r="AE23" s="549"/>
      <c r="AF23" s="549"/>
    </row>
    <row r="24" spans="1:32" ht="15.75" customHeight="1">
      <c r="A24" s="549"/>
      <c r="B24" s="549"/>
      <c r="C24" s="549"/>
      <c r="D24" s="549"/>
      <c r="E24" s="549"/>
      <c r="F24" s="549"/>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c r="AE24" s="549"/>
      <c r="AF24" s="549"/>
    </row>
    <row r="25" spans="1:32" ht="15.75" customHeight="1">
      <c r="A25" s="549"/>
      <c r="B25" s="549"/>
      <c r="C25" s="549"/>
      <c r="D25" s="549"/>
      <c r="E25" s="549"/>
      <c r="F25" s="549"/>
      <c r="G25" s="549"/>
      <c r="H25" s="549"/>
      <c r="I25" s="549"/>
      <c r="J25" s="549"/>
      <c r="K25" s="549"/>
      <c r="L25" s="549"/>
      <c r="M25" s="549"/>
      <c r="N25" s="549"/>
      <c r="O25" s="549"/>
      <c r="P25" s="549"/>
      <c r="Q25" s="549"/>
      <c r="R25" s="549"/>
      <c r="S25" s="549"/>
      <c r="T25" s="549"/>
      <c r="U25" s="549"/>
      <c r="V25" s="549"/>
      <c r="W25" s="549"/>
      <c r="X25" s="549"/>
      <c r="Y25" s="549"/>
      <c r="Z25" s="549"/>
      <c r="AA25" s="549"/>
      <c r="AB25" s="549"/>
      <c r="AC25" s="549"/>
      <c r="AD25" s="549"/>
      <c r="AE25" s="549"/>
      <c r="AF25" s="549"/>
    </row>
    <row r="26" spans="1:32" ht="15.75" customHeight="1">
      <c r="A26" s="549"/>
      <c r="B26" s="549"/>
      <c r="C26" s="549"/>
      <c r="D26" s="549"/>
      <c r="E26" s="549"/>
      <c r="F26" s="549"/>
      <c r="G26" s="549"/>
      <c r="H26" s="549"/>
      <c r="I26" s="549"/>
      <c r="J26" s="549"/>
      <c r="K26" s="549"/>
      <c r="L26" s="549"/>
      <c r="M26" s="549"/>
      <c r="N26" s="549"/>
      <c r="O26" s="549"/>
      <c r="P26" s="549"/>
      <c r="Q26" s="549"/>
      <c r="R26" s="549"/>
      <c r="S26" s="549"/>
      <c r="T26" s="549"/>
      <c r="U26" s="549"/>
      <c r="V26" s="549"/>
      <c r="W26" s="549"/>
      <c r="X26" s="549"/>
      <c r="Y26" s="549"/>
      <c r="Z26" s="549"/>
      <c r="AA26" s="549"/>
      <c r="AB26" s="549"/>
      <c r="AC26" s="549"/>
      <c r="AD26" s="549"/>
      <c r="AE26" s="549"/>
      <c r="AF26" s="549"/>
    </row>
    <row r="27" spans="1:32" ht="15.75" customHeight="1">
      <c r="A27" s="549"/>
      <c r="B27" s="549"/>
      <c r="C27" s="549"/>
      <c r="D27" s="549"/>
      <c r="E27" s="549"/>
      <c r="F27" s="549"/>
      <c r="G27" s="549"/>
      <c r="H27" s="549"/>
      <c r="I27" s="549"/>
      <c r="J27" s="549"/>
      <c r="K27" s="549"/>
      <c r="L27" s="549"/>
      <c r="M27" s="549"/>
      <c r="N27" s="549"/>
      <c r="O27" s="549"/>
      <c r="P27" s="549"/>
      <c r="Q27" s="549"/>
      <c r="R27" s="549"/>
      <c r="S27" s="549"/>
      <c r="T27" s="549"/>
      <c r="U27" s="549"/>
      <c r="V27" s="549"/>
      <c r="W27" s="549"/>
      <c r="X27" s="549"/>
      <c r="Y27" s="549"/>
      <c r="Z27" s="549"/>
      <c r="AA27" s="549"/>
      <c r="AB27" s="549"/>
      <c r="AC27" s="549"/>
      <c r="AD27" s="549"/>
      <c r="AE27" s="549"/>
      <c r="AF27" s="549"/>
    </row>
    <row r="28" spans="1:32" ht="15.75" customHeight="1">
      <c r="A28" s="549"/>
      <c r="B28" s="549"/>
      <c r="C28" s="549"/>
      <c r="D28" s="549"/>
      <c r="E28" s="549"/>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49"/>
      <c r="AD28" s="549"/>
      <c r="AE28" s="549"/>
      <c r="AF28" s="549"/>
    </row>
    <row r="29" spans="1:32" ht="15.75" customHeight="1">
      <c r="A29" s="549"/>
      <c r="B29" s="549"/>
      <c r="C29" s="549"/>
      <c r="D29" s="549"/>
      <c r="E29" s="549"/>
      <c r="F29" s="549"/>
      <c r="G29" s="549"/>
      <c r="H29" s="549"/>
      <c r="I29" s="549"/>
      <c r="J29" s="549"/>
      <c r="K29" s="549"/>
      <c r="L29" s="549"/>
      <c r="M29" s="549"/>
      <c r="N29" s="549"/>
      <c r="O29" s="549"/>
      <c r="P29" s="549"/>
      <c r="Q29" s="549"/>
      <c r="R29" s="549"/>
      <c r="S29" s="549"/>
      <c r="T29" s="549"/>
      <c r="U29" s="549"/>
      <c r="V29" s="549"/>
      <c r="W29" s="549"/>
      <c r="X29" s="549"/>
      <c r="Y29" s="549"/>
      <c r="Z29" s="549"/>
      <c r="AA29" s="549"/>
      <c r="AB29" s="549"/>
      <c r="AC29" s="549"/>
      <c r="AD29" s="549"/>
      <c r="AE29" s="549"/>
      <c r="AF29" s="549"/>
    </row>
    <row r="30" spans="1:32" ht="15.75" customHeight="1">
      <c r="A30" s="549"/>
      <c r="B30" s="549"/>
      <c r="C30" s="549"/>
      <c r="D30" s="549"/>
      <c r="E30" s="549"/>
      <c r="F30" s="549"/>
      <c r="G30" s="549"/>
      <c r="H30" s="549"/>
      <c r="I30" s="549"/>
      <c r="J30" s="549"/>
      <c r="K30" s="549"/>
      <c r="L30" s="549"/>
      <c r="M30" s="549"/>
      <c r="N30" s="549"/>
      <c r="O30" s="549"/>
      <c r="P30" s="549"/>
      <c r="Q30" s="549"/>
      <c r="R30" s="549"/>
      <c r="S30" s="549"/>
      <c r="T30" s="549"/>
      <c r="U30" s="549"/>
      <c r="V30" s="549"/>
      <c r="W30" s="549"/>
      <c r="X30" s="549"/>
      <c r="Y30" s="549"/>
      <c r="Z30" s="549"/>
      <c r="AA30" s="549"/>
      <c r="AB30" s="549"/>
      <c r="AC30" s="549"/>
      <c r="AD30" s="549"/>
      <c r="AE30" s="549"/>
      <c r="AF30" s="549"/>
    </row>
    <row r="31" spans="1:32" ht="15.75" customHeight="1">
      <c r="A31" s="549"/>
      <c r="B31" s="549"/>
      <c r="C31" s="549"/>
      <c r="D31" s="549"/>
      <c r="E31" s="549"/>
      <c r="F31" s="549"/>
      <c r="G31" s="549"/>
      <c r="H31" s="549"/>
      <c r="I31" s="549"/>
      <c r="J31" s="549"/>
      <c r="K31" s="549"/>
      <c r="L31" s="549"/>
      <c r="M31" s="549"/>
      <c r="N31" s="549"/>
      <c r="O31" s="549"/>
      <c r="P31" s="549"/>
      <c r="Q31" s="549"/>
      <c r="R31" s="549"/>
      <c r="S31" s="549"/>
      <c r="T31" s="549"/>
      <c r="U31" s="549"/>
      <c r="V31" s="549"/>
      <c r="W31" s="549"/>
      <c r="X31" s="549"/>
      <c r="Y31" s="549"/>
      <c r="Z31" s="549"/>
      <c r="AA31" s="549"/>
      <c r="AB31" s="549"/>
      <c r="AC31" s="549"/>
      <c r="AD31" s="549"/>
      <c r="AE31" s="549"/>
      <c r="AF31" s="549"/>
    </row>
    <row r="32" spans="1:32" ht="15.75" customHeight="1">
      <c r="A32" s="549"/>
      <c r="B32" s="549"/>
      <c r="C32" s="549"/>
      <c r="D32" s="549"/>
      <c r="E32" s="549"/>
      <c r="F32" s="549"/>
      <c r="G32" s="549"/>
      <c r="H32" s="549"/>
      <c r="I32" s="549"/>
      <c r="J32" s="549"/>
      <c r="K32" s="549"/>
      <c r="L32" s="549"/>
      <c r="M32" s="549"/>
      <c r="N32" s="549"/>
      <c r="O32" s="549"/>
      <c r="P32" s="549"/>
      <c r="Q32" s="549"/>
      <c r="R32" s="549"/>
      <c r="S32" s="549"/>
      <c r="T32" s="549"/>
      <c r="U32" s="549"/>
      <c r="V32" s="549"/>
      <c r="W32" s="549"/>
      <c r="X32" s="549"/>
      <c r="Y32" s="549"/>
      <c r="Z32" s="549"/>
      <c r="AA32" s="549"/>
      <c r="AB32" s="549"/>
      <c r="AC32" s="549"/>
      <c r="AD32" s="549"/>
      <c r="AE32" s="549"/>
      <c r="AF32" s="549"/>
    </row>
    <row r="33" spans="1:32" ht="15.75" customHeight="1">
      <c r="A33" s="549"/>
      <c r="B33" s="549"/>
      <c r="C33" s="549"/>
      <c r="D33" s="549"/>
      <c r="E33" s="549"/>
      <c r="F33" s="549"/>
      <c r="G33" s="549"/>
      <c r="H33" s="549"/>
      <c r="I33" s="549"/>
      <c r="J33" s="549"/>
      <c r="K33" s="549"/>
      <c r="L33" s="549"/>
      <c r="M33" s="549"/>
      <c r="N33" s="549"/>
      <c r="O33" s="549"/>
      <c r="P33" s="549"/>
      <c r="Q33" s="549"/>
      <c r="R33" s="549"/>
      <c r="S33" s="549"/>
      <c r="T33" s="549"/>
      <c r="U33" s="549"/>
      <c r="V33" s="549"/>
      <c r="W33" s="549"/>
      <c r="X33" s="549"/>
      <c r="Y33" s="549"/>
      <c r="Z33" s="549"/>
      <c r="AA33" s="549"/>
      <c r="AB33" s="549"/>
      <c r="AC33" s="549"/>
      <c r="AD33" s="549"/>
      <c r="AE33" s="549"/>
      <c r="AF33" s="549"/>
    </row>
    <row r="34" spans="1:32" ht="15.75" customHeight="1">
      <c r="A34" s="549"/>
      <c r="B34" s="549"/>
      <c r="C34" s="549"/>
      <c r="D34" s="549"/>
      <c r="E34" s="549"/>
      <c r="F34" s="549"/>
      <c r="G34" s="549"/>
      <c r="H34" s="549"/>
      <c r="I34" s="549"/>
      <c r="J34" s="549"/>
      <c r="K34" s="549"/>
      <c r="L34" s="549"/>
      <c r="M34" s="549"/>
      <c r="N34" s="549"/>
      <c r="O34" s="549"/>
      <c r="P34" s="549"/>
      <c r="Q34" s="549"/>
      <c r="R34" s="549"/>
      <c r="S34" s="549"/>
      <c r="T34" s="549"/>
      <c r="U34" s="549"/>
      <c r="V34" s="549"/>
      <c r="W34" s="549"/>
      <c r="X34" s="549"/>
      <c r="Y34" s="549"/>
      <c r="Z34" s="549"/>
      <c r="AA34" s="549"/>
      <c r="AB34" s="549"/>
      <c r="AC34" s="549"/>
      <c r="AD34" s="549"/>
      <c r="AE34" s="549"/>
      <c r="AF34" s="549"/>
    </row>
    <row r="35" spans="1:32" ht="15.75" customHeight="1">
      <c r="A35" s="549"/>
      <c r="B35" s="549"/>
      <c r="C35" s="549"/>
      <c r="D35" s="549"/>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row>
    <row r="36" spans="1:32" ht="15.75" customHeight="1">
      <c r="A36" s="549"/>
      <c r="B36" s="549"/>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c r="AB36" s="549"/>
      <c r="AC36" s="549"/>
      <c r="AD36" s="549"/>
      <c r="AE36" s="549"/>
      <c r="AF36" s="549"/>
    </row>
    <row r="37" spans="1:32" ht="15.75" customHeight="1">
      <c r="A37" s="549"/>
      <c r="B37" s="549"/>
      <c r="C37" s="549"/>
      <c r="D37" s="549"/>
      <c r="E37" s="549"/>
      <c r="F37" s="549"/>
      <c r="G37" s="549"/>
      <c r="H37" s="549"/>
      <c r="I37" s="549"/>
      <c r="J37" s="549"/>
      <c r="K37" s="549"/>
      <c r="L37" s="549"/>
      <c r="M37" s="549"/>
      <c r="N37" s="549"/>
      <c r="O37" s="549"/>
      <c r="P37" s="549"/>
      <c r="Q37" s="549"/>
      <c r="R37" s="549"/>
      <c r="S37" s="549"/>
      <c r="T37" s="549"/>
      <c r="U37" s="549"/>
      <c r="V37" s="549"/>
      <c r="W37" s="549"/>
      <c r="X37" s="549"/>
      <c r="Y37" s="549"/>
      <c r="Z37" s="549"/>
      <c r="AA37" s="549"/>
      <c r="AB37" s="549"/>
      <c r="AC37" s="549"/>
      <c r="AD37" s="549"/>
      <c r="AE37" s="549"/>
      <c r="AF37" s="549"/>
    </row>
    <row r="38" spans="1:32" ht="15.75" customHeight="1">
      <c r="A38" s="549"/>
      <c r="B38" s="549"/>
      <c r="C38" s="549"/>
      <c r="D38" s="549"/>
      <c r="E38" s="549"/>
      <c r="F38" s="549"/>
      <c r="G38" s="549"/>
      <c r="H38" s="549"/>
      <c r="I38" s="549"/>
      <c r="J38" s="549"/>
      <c r="K38" s="549"/>
      <c r="L38" s="549"/>
      <c r="M38" s="549"/>
      <c r="N38" s="549"/>
      <c r="O38" s="549"/>
      <c r="P38" s="549"/>
      <c r="Q38" s="549"/>
      <c r="R38" s="549"/>
      <c r="S38" s="549"/>
      <c r="T38" s="549"/>
      <c r="U38" s="549"/>
      <c r="V38" s="549"/>
      <c r="W38" s="549"/>
      <c r="X38" s="549"/>
      <c r="Y38" s="549"/>
      <c r="Z38" s="549"/>
      <c r="AA38" s="549"/>
      <c r="AB38" s="549"/>
      <c r="AC38" s="549"/>
      <c r="AD38" s="549"/>
      <c r="AE38" s="549"/>
      <c r="AF38" s="549"/>
    </row>
    <row r="39" spans="1:32" ht="15.75" customHeight="1">
      <c r="A39" s="549"/>
      <c r="B39" s="549"/>
      <c r="C39" s="549"/>
      <c r="D39" s="549"/>
      <c r="E39" s="549"/>
      <c r="F39" s="549"/>
      <c r="G39" s="549"/>
      <c r="H39" s="549"/>
      <c r="I39" s="549"/>
      <c r="J39" s="549"/>
      <c r="K39" s="549"/>
      <c r="L39" s="549"/>
      <c r="M39" s="549"/>
      <c r="N39" s="549"/>
      <c r="O39" s="549"/>
      <c r="P39" s="549"/>
      <c r="Q39" s="549"/>
      <c r="R39" s="549"/>
      <c r="S39" s="549"/>
      <c r="T39" s="549"/>
      <c r="U39" s="549"/>
      <c r="V39" s="549"/>
      <c r="W39" s="549"/>
      <c r="X39" s="549"/>
      <c r="Y39" s="549"/>
      <c r="Z39" s="549"/>
      <c r="AA39" s="549"/>
      <c r="AB39" s="549"/>
      <c r="AC39" s="549"/>
      <c r="AD39" s="549"/>
      <c r="AE39" s="549"/>
      <c r="AF39" s="549"/>
    </row>
    <row r="40" spans="1:32" ht="15.75" customHeight="1">
      <c r="A40" s="549"/>
      <c r="B40" s="549"/>
      <c r="C40" s="549"/>
      <c r="D40" s="549"/>
      <c r="E40" s="549"/>
      <c r="F40" s="549"/>
      <c r="G40" s="549"/>
      <c r="H40" s="549"/>
      <c r="I40" s="549"/>
      <c r="J40" s="549"/>
      <c r="K40" s="549"/>
      <c r="L40" s="549"/>
      <c r="M40" s="549"/>
      <c r="N40" s="549"/>
      <c r="O40" s="549"/>
      <c r="P40" s="549"/>
      <c r="Q40" s="549"/>
      <c r="R40" s="549"/>
      <c r="S40" s="549"/>
      <c r="T40" s="549"/>
      <c r="U40" s="549"/>
      <c r="V40" s="549"/>
      <c r="W40" s="549"/>
      <c r="X40" s="549"/>
      <c r="Y40" s="549"/>
      <c r="Z40" s="549"/>
      <c r="AA40" s="549"/>
      <c r="AB40" s="549"/>
      <c r="AC40" s="549"/>
      <c r="AD40" s="549"/>
      <c r="AE40" s="549"/>
      <c r="AF40" s="549"/>
    </row>
    <row r="41" spans="1:32" ht="15.75" customHeight="1">
      <c r="A41" s="549"/>
      <c r="B41" s="549"/>
      <c r="C41" s="549"/>
      <c r="D41" s="549"/>
      <c r="E41" s="549"/>
      <c r="F41" s="549"/>
      <c r="G41" s="549"/>
      <c r="H41" s="549"/>
      <c r="I41" s="549"/>
      <c r="J41" s="549"/>
      <c r="K41" s="549"/>
      <c r="L41" s="549"/>
      <c r="M41" s="549"/>
      <c r="N41" s="549"/>
      <c r="O41" s="549"/>
      <c r="P41" s="549"/>
      <c r="Q41" s="549"/>
      <c r="R41" s="549"/>
      <c r="S41" s="549"/>
      <c r="T41" s="549"/>
      <c r="U41" s="549"/>
      <c r="V41" s="549"/>
      <c r="W41" s="549"/>
      <c r="X41" s="549"/>
      <c r="Y41" s="549"/>
      <c r="Z41" s="549"/>
      <c r="AA41" s="549"/>
      <c r="AB41" s="549"/>
      <c r="AC41" s="549"/>
      <c r="AD41" s="549"/>
      <c r="AE41" s="549"/>
      <c r="AF41" s="549"/>
    </row>
    <row r="42" spans="1:32" ht="15.75" customHeight="1">
      <c r="A42" s="549"/>
      <c r="B42" s="549"/>
      <c r="C42" s="549"/>
      <c r="D42" s="549"/>
      <c r="E42" s="549"/>
      <c r="F42" s="549"/>
      <c r="G42" s="549"/>
      <c r="H42" s="549"/>
      <c r="I42" s="549"/>
      <c r="J42" s="549"/>
      <c r="K42" s="549"/>
      <c r="L42" s="549"/>
      <c r="M42" s="549"/>
      <c r="N42" s="549"/>
      <c r="O42" s="549"/>
      <c r="P42" s="549"/>
      <c r="Q42" s="549"/>
      <c r="R42" s="549"/>
      <c r="S42" s="549"/>
      <c r="T42" s="549"/>
      <c r="U42" s="549"/>
      <c r="V42" s="549"/>
      <c r="W42" s="549"/>
      <c r="X42" s="549"/>
      <c r="Y42" s="549"/>
      <c r="Z42" s="549"/>
      <c r="AA42" s="549"/>
      <c r="AB42" s="549"/>
      <c r="AC42" s="549"/>
      <c r="AD42" s="549"/>
      <c r="AE42" s="549"/>
      <c r="AF42" s="549"/>
    </row>
    <row r="43" spans="1:32" ht="15.75" customHeight="1">
      <c r="A43" s="549"/>
      <c r="B43" s="549"/>
      <c r="C43" s="549"/>
      <c r="D43" s="549"/>
      <c r="E43" s="549"/>
      <c r="F43" s="549"/>
      <c r="G43" s="549"/>
      <c r="H43" s="549"/>
      <c r="I43" s="549"/>
      <c r="J43" s="549"/>
      <c r="K43" s="549"/>
      <c r="L43" s="549"/>
      <c r="M43" s="549"/>
      <c r="N43" s="549"/>
      <c r="O43" s="549"/>
      <c r="P43" s="549"/>
      <c r="Q43" s="549"/>
      <c r="R43" s="549"/>
      <c r="S43" s="549"/>
      <c r="T43" s="549"/>
      <c r="U43" s="549"/>
      <c r="V43" s="549"/>
      <c r="W43" s="549"/>
      <c r="X43" s="549"/>
      <c r="Y43" s="549"/>
      <c r="Z43" s="549"/>
      <c r="AA43" s="549"/>
      <c r="AB43" s="549"/>
      <c r="AC43" s="549"/>
      <c r="AD43" s="549"/>
      <c r="AE43" s="549"/>
      <c r="AF43" s="549"/>
    </row>
    <row r="44" spans="1:32" ht="15.75" customHeight="1">
      <c r="A44" s="549"/>
      <c r="B44" s="549"/>
      <c r="C44" s="549"/>
      <c r="D44" s="549"/>
      <c r="E44" s="549"/>
      <c r="F44" s="549"/>
      <c r="G44" s="549"/>
      <c r="H44" s="549"/>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row>
    <row r="45" spans="1:32" ht="15.75" customHeight="1">
      <c r="A45" s="549"/>
      <c r="B45" s="549"/>
      <c r="C45" s="549"/>
      <c r="D45" s="549"/>
      <c r="E45" s="549"/>
      <c r="F45" s="549"/>
      <c r="G45" s="549"/>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row>
    <row r="46" spans="1:32" ht="15.75" customHeight="1">
      <c r="A46" s="549"/>
      <c r="B46" s="549"/>
      <c r="C46" s="549"/>
      <c r="D46" s="549"/>
      <c r="E46" s="549"/>
      <c r="F46" s="549"/>
      <c r="G46" s="549"/>
      <c r="H46" s="549"/>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row>
    <row r="47" spans="1:32" ht="15.75" customHeight="1">
      <c r="A47" s="549"/>
      <c r="B47" s="549"/>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row>
    <row r="48" spans="1:32" ht="15.75" customHeight="1">
      <c r="A48" s="549"/>
      <c r="B48" s="549"/>
      <c r="C48" s="549"/>
      <c r="D48" s="549"/>
      <c r="E48" s="549"/>
      <c r="F48" s="549"/>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row>
    <row r="49" spans="1:32" ht="15.75" customHeight="1">
      <c r="A49" s="549"/>
      <c r="B49" s="549"/>
      <c r="C49" s="549"/>
      <c r="D49" s="549"/>
      <c r="E49" s="549"/>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row>
    <row r="50" spans="1:32" ht="15.75" customHeight="1">
      <c r="A50" s="549"/>
      <c r="B50" s="549"/>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49"/>
      <c r="AA50" s="549"/>
      <c r="AB50" s="549"/>
      <c r="AC50" s="549"/>
      <c r="AD50" s="549"/>
      <c r="AE50" s="549"/>
      <c r="AF50" s="549"/>
    </row>
    <row r="51" spans="1:32" ht="15.75" customHeight="1">
      <c r="A51" s="549"/>
      <c r="B51" s="549"/>
      <c r="C51" s="549"/>
      <c r="D51" s="549"/>
      <c r="E51" s="549"/>
      <c r="F51" s="549"/>
      <c r="G51" s="549"/>
      <c r="H51" s="549"/>
      <c r="I51" s="549"/>
      <c r="J51" s="549"/>
      <c r="K51" s="549"/>
      <c r="L51" s="549"/>
      <c r="M51" s="549"/>
      <c r="N51" s="549"/>
      <c r="O51" s="549"/>
      <c r="P51" s="549"/>
      <c r="Q51" s="549"/>
      <c r="R51" s="549"/>
      <c r="S51" s="549"/>
      <c r="T51" s="549"/>
      <c r="U51" s="549"/>
      <c r="V51" s="549"/>
      <c r="W51" s="549"/>
      <c r="X51" s="549"/>
      <c r="Y51" s="549"/>
      <c r="Z51" s="549"/>
      <c r="AA51" s="549"/>
      <c r="AB51" s="549"/>
      <c r="AC51" s="549"/>
      <c r="AD51" s="549"/>
      <c r="AE51" s="549"/>
      <c r="AF51" s="549"/>
    </row>
    <row r="52" spans="1:32" ht="15.75" customHeight="1">
      <c r="A52" s="549"/>
      <c r="B52" s="549"/>
      <c r="C52" s="549"/>
      <c r="D52" s="549"/>
      <c r="E52" s="549"/>
      <c r="F52" s="549"/>
      <c r="G52" s="549"/>
      <c r="H52" s="549"/>
      <c r="I52" s="549"/>
      <c r="J52" s="549"/>
      <c r="K52" s="549"/>
      <c r="L52" s="549"/>
      <c r="M52" s="549"/>
      <c r="N52" s="549"/>
      <c r="O52" s="549"/>
      <c r="P52" s="549"/>
      <c r="Q52" s="549"/>
      <c r="R52" s="549"/>
      <c r="S52" s="549"/>
      <c r="T52" s="549"/>
      <c r="U52" s="549"/>
      <c r="V52" s="549"/>
      <c r="W52" s="549"/>
      <c r="X52" s="549"/>
      <c r="Y52" s="549"/>
      <c r="Z52" s="549"/>
      <c r="AA52" s="549"/>
      <c r="AB52" s="549"/>
      <c r="AC52" s="549"/>
      <c r="AD52" s="549"/>
      <c r="AE52" s="549"/>
      <c r="AF52" s="549"/>
    </row>
    <row r="53" spans="1:32" ht="15.75" customHeight="1">
      <c r="A53" s="549"/>
      <c r="B53" s="549"/>
      <c r="C53" s="549"/>
      <c r="D53" s="549"/>
      <c r="E53" s="549"/>
      <c r="F53" s="549"/>
      <c r="G53" s="549"/>
      <c r="H53" s="549"/>
      <c r="I53" s="549"/>
      <c r="J53" s="549"/>
      <c r="K53" s="549"/>
      <c r="L53" s="549"/>
      <c r="M53" s="549"/>
      <c r="N53" s="549"/>
      <c r="O53" s="549"/>
      <c r="P53" s="549"/>
      <c r="Q53" s="549"/>
      <c r="R53" s="549"/>
      <c r="S53" s="549"/>
      <c r="T53" s="549"/>
      <c r="U53" s="549"/>
      <c r="V53" s="549"/>
      <c r="W53" s="549"/>
      <c r="X53" s="549"/>
      <c r="Y53" s="549"/>
      <c r="Z53" s="549"/>
      <c r="AA53" s="549"/>
      <c r="AB53" s="549"/>
      <c r="AC53" s="549"/>
      <c r="AD53" s="549"/>
      <c r="AE53" s="549"/>
      <c r="AF53" s="549"/>
    </row>
    <row r="54" spans="1:32" ht="15.75" customHeight="1">
      <c r="A54" s="549"/>
      <c r="B54" s="549"/>
      <c r="C54" s="549"/>
      <c r="D54" s="549"/>
      <c r="E54" s="549"/>
      <c r="F54" s="549"/>
      <c r="G54" s="549"/>
      <c r="H54" s="549"/>
      <c r="I54" s="549"/>
      <c r="J54" s="549"/>
      <c r="K54" s="549"/>
      <c r="L54" s="549"/>
      <c r="M54" s="549"/>
      <c r="N54" s="549"/>
      <c r="O54" s="549"/>
      <c r="P54" s="549"/>
      <c r="Q54" s="549"/>
      <c r="R54" s="549"/>
      <c r="S54" s="549"/>
      <c r="T54" s="549"/>
      <c r="U54" s="549"/>
      <c r="V54" s="549"/>
      <c r="W54" s="549"/>
      <c r="X54" s="549"/>
      <c r="Y54" s="549"/>
      <c r="Z54" s="549"/>
      <c r="AA54" s="549"/>
      <c r="AB54" s="549"/>
      <c r="AC54" s="549"/>
      <c r="AD54" s="549"/>
      <c r="AE54" s="549"/>
      <c r="AF54" s="549"/>
    </row>
    <row r="55" spans="1:32" ht="15.75" customHeight="1">
      <c r="A55" s="549"/>
      <c r="B55" s="549"/>
      <c r="C55" s="549"/>
      <c r="D55" s="549"/>
      <c r="E55" s="549"/>
      <c r="F55" s="549"/>
      <c r="G55" s="549"/>
      <c r="H55" s="549"/>
      <c r="I55" s="549"/>
      <c r="J55" s="549"/>
      <c r="K55" s="549"/>
      <c r="L55" s="549"/>
      <c r="M55" s="549"/>
      <c r="N55" s="549"/>
      <c r="O55" s="549"/>
      <c r="P55" s="549"/>
      <c r="Q55" s="549"/>
      <c r="R55" s="549"/>
      <c r="S55" s="549"/>
      <c r="T55" s="549"/>
      <c r="U55" s="549"/>
      <c r="V55" s="549"/>
      <c r="W55" s="549"/>
      <c r="X55" s="549"/>
      <c r="Y55" s="549"/>
      <c r="Z55" s="549"/>
      <c r="AA55" s="549"/>
      <c r="AB55" s="549"/>
      <c r="AC55" s="549"/>
      <c r="AD55" s="549"/>
      <c r="AE55" s="549"/>
      <c r="AF55" s="549"/>
    </row>
    <row r="56" spans="1:32" ht="15.75" customHeight="1">
      <c r="A56" s="549"/>
      <c r="B56" s="549"/>
      <c r="C56" s="549"/>
      <c r="D56" s="549"/>
      <c r="E56" s="549"/>
      <c r="F56" s="549"/>
      <c r="G56" s="549"/>
      <c r="H56" s="549"/>
      <c r="I56" s="549"/>
      <c r="J56" s="549"/>
      <c r="K56" s="549"/>
      <c r="L56" s="549"/>
      <c r="M56" s="549"/>
      <c r="N56" s="549"/>
      <c r="O56" s="549"/>
      <c r="P56" s="549"/>
      <c r="Q56" s="549"/>
      <c r="R56" s="549"/>
      <c r="S56" s="549"/>
      <c r="T56" s="549"/>
      <c r="U56" s="549"/>
      <c r="V56" s="549"/>
      <c r="W56" s="549"/>
      <c r="X56" s="549"/>
      <c r="Y56" s="549"/>
      <c r="Z56" s="549"/>
      <c r="AA56" s="549"/>
      <c r="AB56" s="549"/>
      <c r="AC56" s="549"/>
      <c r="AD56" s="549"/>
      <c r="AE56" s="549"/>
      <c r="AF56" s="549"/>
    </row>
    <row r="57" spans="1:32" ht="15.75" customHeight="1">
      <c r="A57" s="549"/>
      <c r="B57" s="549"/>
      <c r="C57" s="549"/>
      <c r="D57" s="549"/>
      <c r="E57" s="549"/>
      <c r="F57" s="549"/>
      <c r="G57" s="549"/>
      <c r="H57" s="549"/>
      <c r="I57" s="549"/>
      <c r="J57" s="549"/>
      <c r="K57" s="549"/>
      <c r="L57" s="549"/>
      <c r="M57" s="549"/>
      <c r="N57" s="549"/>
      <c r="O57" s="549"/>
      <c r="P57" s="549"/>
      <c r="Q57" s="549"/>
      <c r="R57" s="549"/>
      <c r="S57" s="549"/>
      <c r="T57" s="549"/>
      <c r="U57" s="549"/>
      <c r="V57" s="549"/>
      <c r="W57" s="549"/>
      <c r="X57" s="549"/>
      <c r="Y57" s="549"/>
      <c r="Z57" s="549"/>
      <c r="AA57" s="549"/>
      <c r="AB57" s="549"/>
      <c r="AC57" s="549"/>
      <c r="AD57" s="549"/>
      <c r="AE57" s="549"/>
      <c r="AF57" s="549"/>
    </row>
    <row r="58" spans="1:32" ht="15.75" customHeight="1">
      <c r="A58" s="549"/>
      <c r="B58" s="549"/>
      <c r="C58" s="549"/>
      <c r="D58" s="549"/>
      <c r="E58" s="549"/>
      <c r="F58" s="549"/>
      <c r="G58" s="549"/>
      <c r="H58" s="549"/>
      <c r="I58" s="549"/>
      <c r="J58" s="549"/>
      <c r="K58" s="549"/>
      <c r="L58" s="549"/>
      <c r="M58" s="549"/>
      <c r="N58" s="549"/>
      <c r="O58" s="549"/>
      <c r="P58" s="549"/>
      <c r="Q58" s="549"/>
      <c r="R58" s="549"/>
      <c r="S58" s="549"/>
      <c r="T58" s="549"/>
      <c r="U58" s="549"/>
      <c r="V58" s="549"/>
      <c r="W58" s="549"/>
      <c r="X58" s="549"/>
      <c r="Y58" s="549"/>
      <c r="Z58" s="549"/>
      <c r="AA58" s="549"/>
      <c r="AB58" s="549"/>
      <c r="AC58" s="549"/>
      <c r="AD58" s="549"/>
      <c r="AE58" s="549"/>
      <c r="AF58" s="549"/>
    </row>
    <row r="59" spans="1:32" ht="15.75" customHeight="1">
      <c r="A59" s="549"/>
      <c r="B59" s="549"/>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49"/>
      <c r="AD59" s="549"/>
      <c r="AE59" s="549"/>
      <c r="AF59" s="549"/>
    </row>
    <row r="60" spans="1:32" ht="15.75" customHeight="1">
      <c r="A60" s="549"/>
      <c r="B60" s="549"/>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49"/>
      <c r="AA60" s="549"/>
      <c r="AB60" s="549"/>
      <c r="AC60" s="549"/>
      <c r="AD60" s="549"/>
      <c r="AE60" s="549"/>
      <c r="AF60" s="549"/>
    </row>
    <row r="61" spans="1:32" ht="15.75" customHeight="1">
      <c r="A61" s="549"/>
      <c r="B61" s="549"/>
      <c r="C61" s="549"/>
      <c r="D61" s="549"/>
      <c r="E61" s="549"/>
      <c r="F61" s="549"/>
      <c r="G61" s="549"/>
      <c r="H61" s="549"/>
      <c r="I61" s="549"/>
      <c r="J61" s="549"/>
      <c r="K61" s="549"/>
      <c r="L61" s="549"/>
      <c r="M61" s="549"/>
      <c r="N61" s="549"/>
      <c r="O61" s="549"/>
      <c r="P61" s="549"/>
      <c r="Q61" s="549"/>
      <c r="R61" s="549"/>
      <c r="S61" s="549"/>
      <c r="T61" s="549"/>
      <c r="U61" s="549"/>
      <c r="V61" s="549"/>
      <c r="W61" s="549"/>
      <c r="X61" s="549"/>
      <c r="Y61" s="549"/>
      <c r="Z61" s="549"/>
      <c r="AA61" s="549"/>
      <c r="AB61" s="549"/>
      <c r="AC61" s="549"/>
      <c r="AD61" s="549"/>
      <c r="AE61" s="549"/>
      <c r="AF61" s="549"/>
    </row>
    <row r="62" spans="1:32" ht="15.75" customHeight="1">
      <c r="A62" s="549"/>
      <c r="B62" s="549"/>
      <c r="C62" s="549"/>
      <c r="D62" s="549"/>
      <c r="E62" s="549"/>
      <c r="F62" s="549"/>
      <c r="G62" s="549"/>
      <c r="H62" s="549"/>
      <c r="I62" s="549"/>
      <c r="J62" s="549"/>
      <c r="K62" s="549"/>
      <c r="L62" s="549"/>
      <c r="M62" s="549"/>
      <c r="N62" s="549"/>
      <c r="O62" s="549"/>
      <c r="P62" s="549"/>
      <c r="Q62" s="549"/>
      <c r="R62" s="549"/>
      <c r="S62" s="549"/>
      <c r="T62" s="549"/>
      <c r="U62" s="549"/>
      <c r="V62" s="549"/>
      <c r="W62" s="549"/>
      <c r="X62" s="549"/>
      <c r="Y62" s="549"/>
      <c r="Z62" s="549"/>
      <c r="AA62" s="549"/>
      <c r="AB62" s="549"/>
      <c r="AC62" s="549"/>
      <c r="AD62" s="549"/>
      <c r="AE62" s="549"/>
      <c r="AF62" s="549"/>
    </row>
    <row r="63" spans="1:32" ht="15.75" customHeight="1">
      <c r="A63" s="549"/>
      <c r="B63" s="549"/>
      <c r="C63" s="549"/>
      <c r="D63" s="549"/>
      <c r="E63" s="549"/>
      <c r="F63" s="549"/>
      <c r="G63" s="549"/>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row>
    <row r="64" spans="1:32" ht="15.75" customHeight="1">
      <c r="A64" s="549"/>
      <c r="B64" s="549"/>
      <c r="C64" s="549"/>
      <c r="D64" s="549"/>
      <c r="E64" s="549"/>
      <c r="F64" s="549"/>
      <c r="G64" s="549"/>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row>
    <row r="65" spans="1:32" ht="15.75" customHeight="1">
      <c r="A65" s="549"/>
      <c r="B65" s="549"/>
      <c r="C65" s="549"/>
      <c r="D65" s="549"/>
      <c r="E65" s="549"/>
      <c r="F65" s="549"/>
      <c r="G65" s="549"/>
      <c r="H65" s="549"/>
      <c r="I65" s="549"/>
      <c r="J65" s="549"/>
      <c r="K65" s="549"/>
      <c r="L65" s="549"/>
      <c r="M65" s="549"/>
      <c r="N65" s="549"/>
      <c r="O65" s="549"/>
      <c r="P65" s="549"/>
      <c r="Q65" s="549"/>
      <c r="R65" s="549"/>
      <c r="S65" s="549"/>
      <c r="T65" s="549"/>
      <c r="U65" s="549"/>
      <c r="V65" s="549"/>
      <c r="W65" s="549"/>
      <c r="X65" s="549"/>
      <c r="Y65" s="549"/>
      <c r="Z65" s="549"/>
      <c r="AA65" s="549"/>
      <c r="AB65" s="549"/>
      <c r="AC65" s="549"/>
      <c r="AD65" s="549"/>
      <c r="AE65" s="549"/>
      <c r="AF65" s="549"/>
    </row>
    <row r="66" spans="1:32" ht="15.75" customHeight="1">
      <c r="A66" s="549"/>
      <c r="B66" s="549"/>
      <c r="C66" s="549"/>
      <c r="D66" s="549"/>
      <c r="E66" s="549"/>
      <c r="F66" s="549"/>
      <c r="G66" s="549"/>
      <c r="H66" s="549"/>
      <c r="I66" s="549"/>
      <c r="J66" s="549"/>
      <c r="K66" s="549"/>
      <c r="L66" s="549"/>
      <c r="M66" s="549"/>
      <c r="N66" s="549"/>
      <c r="O66" s="549"/>
      <c r="P66" s="549"/>
      <c r="Q66" s="549"/>
      <c r="R66" s="549"/>
      <c r="S66" s="549"/>
      <c r="T66" s="549"/>
      <c r="U66" s="549"/>
      <c r="V66" s="549"/>
      <c r="W66" s="549"/>
      <c r="X66" s="549"/>
      <c r="Y66" s="549"/>
      <c r="Z66" s="549"/>
      <c r="AA66" s="549"/>
      <c r="AB66" s="549"/>
      <c r="AC66" s="549"/>
      <c r="AD66" s="549"/>
      <c r="AE66" s="549"/>
      <c r="AF66" s="549"/>
    </row>
    <row r="67" spans="1:32" ht="15.75" customHeight="1">
      <c r="A67" s="549"/>
      <c r="B67" s="549"/>
      <c r="C67" s="549"/>
      <c r="D67" s="549"/>
      <c r="E67" s="549"/>
      <c r="F67" s="549"/>
      <c r="G67" s="549"/>
      <c r="H67" s="549"/>
      <c r="I67" s="549"/>
      <c r="J67" s="549"/>
      <c r="K67" s="549"/>
      <c r="L67" s="549"/>
      <c r="M67" s="549"/>
      <c r="N67" s="549"/>
      <c r="O67" s="549"/>
      <c r="P67" s="549"/>
      <c r="Q67" s="549"/>
      <c r="R67" s="549"/>
      <c r="S67" s="549"/>
      <c r="T67" s="549"/>
      <c r="U67" s="549"/>
      <c r="V67" s="549"/>
      <c r="W67" s="549"/>
      <c r="X67" s="549"/>
      <c r="Y67" s="549"/>
      <c r="Z67" s="549"/>
      <c r="AA67" s="549"/>
      <c r="AB67" s="549"/>
      <c r="AC67" s="549"/>
      <c r="AD67" s="549"/>
      <c r="AE67" s="549"/>
      <c r="AF67" s="549"/>
    </row>
    <row r="68" spans="1:32" ht="15.75" customHeight="1">
      <c r="A68" s="549"/>
      <c r="B68" s="549"/>
      <c r="C68" s="549"/>
      <c r="D68" s="549"/>
      <c r="E68" s="549"/>
      <c r="F68" s="549"/>
      <c r="G68" s="549"/>
      <c r="H68" s="549"/>
      <c r="I68" s="549"/>
      <c r="J68" s="549"/>
      <c r="K68" s="549"/>
      <c r="L68" s="549"/>
      <c r="M68" s="549"/>
      <c r="N68" s="549"/>
      <c r="O68" s="549"/>
      <c r="P68" s="549"/>
      <c r="Q68" s="549"/>
      <c r="R68" s="549"/>
      <c r="S68" s="549"/>
      <c r="T68" s="549"/>
      <c r="U68" s="549"/>
      <c r="V68" s="549"/>
      <c r="W68" s="549"/>
      <c r="X68" s="549"/>
      <c r="Y68" s="549"/>
      <c r="Z68" s="549"/>
      <c r="AA68" s="549"/>
      <c r="AB68" s="549"/>
      <c r="AC68" s="549"/>
      <c r="AD68" s="549"/>
      <c r="AE68" s="549"/>
      <c r="AF68" s="549"/>
    </row>
    <row r="69" spans="1:32" ht="15.75" customHeight="1">
      <c r="A69" s="549"/>
      <c r="B69" s="549"/>
      <c r="C69" s="549"/>
      <c r="D69" s="549"/>
      <c r="E69" s="549"/>
      <c r="F69" s="549"/>
      <c r="G69" s="549"/>
      <c r="H69" s="549"/>
      <c r="I69" s="549"/>
      <c r="J69" s="549"/>
      <c r="K69" s="549"/>
      <c r="L69" s="549"/>
      <c r="M69" s="549"/>
      <c r="N69" s="549"/>
      <c r="O69" s="549"/>
      <c r="P69" s="549"/>
      <c r="Q69" s="549"/>
      <c r="R69" s="549"/>
      <c r="S69" s="549"/>
      <c r="T69" s="549"/>
      <c r="U69" s="549"/>
      <c r="V69" s="549"/>
      <c r="W69" s="549"/>
      <c r="X69" s="549"/>
      <c r="Y69" s="549"/>
      <c r="Z69" s="549"/>
      <c r="AA69" s="549"/>
      <c r="AB69" s="549"/>
      <c r="AC69" s="549"/>
      <c r="AD69" s="549"/>
      <c r="AE69" s="549"/>
      <c r="AF69" s="549"/>
    </row>
    <row r="70" spans="1:32" ht="15.75" customHeight="1">
      <c r="A70" s="549"/>
      <c r="B70" s="549"/>
      <c r="C70" s="549"/>
      <c r="D70" s="549"/>
      <c r="E70" s="549"/>
      <c r="F70" s="549"/>
      <c r="G70" s="549"/>
      <c r="H70" s="549"/>
      <c r="I70" s="549"/>
      <c r="J70" s="549"/>
      <c r="K70" s="549"/>
      <c r="L70" s="549"/>
      <c r="M70" s="549"/>
      <c r="N70" s="549"/>
      <c r="O70" s="549"/>
      <c r="P70" s="549"/>
      <c r="Q70" s="549"/>
      <c r="R70" s="549"/>
      <c r="S70" s="549"/>
      <c r="T70" s="549"/>
      <c r="U70" s="549"/>
      <c r="V70" s="549"/>
      <c r="W70" s="549"/>
      <c r="X70" s="549"/>
      <c r="Y70" s="549"/>
      <c r="Z70" s="549"/>
      <c r="AA70" s="549"/>
      <c r="AB70" s="549"/>
      <c r="AC70" s="549"/>
      <c r="AD70" s="549"/>
      <c r="AE70" s="549"/>
      <c r="AF70" s="549"/>
    </row>
    <row r="71" spans="1:32" ht="15.75" customHeight="1">
      <c r="A71" s="549"/>
      <c r="B71" s="549"/>
      <c r="C71" s="549"/>
      <c r="D71" s="549"/>
      <c r="E71" s="549"/>
      <c r="F71" s="549"/>
      <c r="G71" s="549"/>
      <c r="H71" s="549"/>
      <c r="I71" s="549"/>
      <c r="J71" s="549"/>
      <c r="K71" s="549"/>
      <c r="L71" s="549"/>
      <c r="M71" s="549"/>
      <c r="N71" s="549"/>
      <c r="O71" s="549"/>
      <c r="P71" s="549"/>
      <c r="Q71" s="549"/>
      <c r="R71" s="549"/>
      <c r="S71" s="549"/>
      <c r="T71" s="549"/>
      <c r="U71" s="549"/>
      <c r="V71" s="549"/>
      <c r="W71" s="549"/>
      <c r="X71" s="549"/>
      <c r="Y71" s="549"/>
      <c r="Z71" s="549"/>
      <c r="AA71" s="549"/>
      <c r="AB71" s="549"/>
      <c r="AC71" s="549"/>
      <c r="AD71" s="549"/>
      <c r="AE71" s="549"/>
      <c r="AF71" s="549"/>
    </row>
    <row r="72" spans="1:32" ht="15.75" customHeight="1">
      <c r="A72" s="549"/>
      <c r="B72" s="549"/>
      <c r="C72" s="549"/>
      <c r="D72" s="549"/>
      <c r="E72" s="549"/>
      <c r="F72" s="549"/>
      <c r="G72" s="549"/>
      <c r="H72" s="549"/>
      <c r="I72" s="549"/>
      <c r="J72" s="549"/>
      <c r="K72" s="549"/>
      <c r="L72" s="549"/>
      <c r="M72" s="549"/>
      <c r="N72" s="549"/>
      <c r="O72" s="549"/>
      <c r="P72" s="549"/>
      <c r="Q72" s="549"/>
      <c r="R72" s="549"/>
      <c r="S72" s="549"/>
      <c r="T72" s="549"/>
      <c r="U72" s="549"/>
      <c r="V72" s="549"/>
      <c r="W72" s="549"/>
      <c r="X72" s="549"/>
      <c r="Y72" s="549"/>
      <c r="Z72" s="549"/>
      <c r="AA72" s="549"/>
      <c r="AB72" s="549"/>
      <c r="AC72" s="549"/>
      <c r="AD72" s="549"/>
      <c r="AE72" s="549"/>
      <c r="AF72" s="549"/>
    </row>
    <row r="73" spans="1:32" ht="15.75" customHeight="1">
      <c r="A73" s="549"/>
      <c r="B73" s="549"/>
      <c r="C73" s="549"/>
      <c r="D73" s="549"/>
      <c r="E73" s="549"/>
      <c r="F73" s="549"/>
      <c r="G73" s="549"/>
      <c r="H73" s="549"/>
      <c r="I73" s="549"/>
      <c r="J73" s="549"/>
      <c r="K73" s="549"/>
      <c r="L73" s="549"/>
      <c r="M73" s="549"/>
      <c r="N73" s="549"/>
      <c r="O73" s="549"/>
      <c r="P73" s="549"/>
      <c r="Q73" s="549"/>
      <c r="R73" s="549"/>
      <c r="S73" s="549"/>
      <c r="T73" s="549"/>
      <c r="U73" s="549"/>
      <c r="V73" s="549"/>
      <c r="W73" s="549"/>
      <c r="X73" s="549"/>
      <c r="Y73" s="549"/>
      <c r="Z73" s="549"/>
      <c r="AA73" s="549"/>
      <c r="AB73" s="549"/>
      <c r="AC73" s="549"/>
      <c r="AD73" s="549"/>
      <c r="AE73" s="549"/>
      <c r="AF73" s="549"/>
    </row>
    <row r="74" spans="1:32" ht="15.75" customHeight="1">
      <c r="A74" s="549"/>
      <c r="B74" s="549"/>
      <c r="C74" s="549"/>
      <c r="D74" s="549"/>
      <c r="E74" s="549"/>
      <c r="F74" s="549"/>
      <c r="G74" s="549"/>
      <c r="H74" s="549"/>
      <c r="I74" s="549"/>
      <c r="J74" s="549"/>
      <c r="K74" s="549"/>
      <c r="L74" s="549"/>
      <c r="M74" s="549"/>
      <c r="N74" s="549"/>
      <c r="O74" s="549"/>
      <c r="P74" s="549"/>
      <c r="Q74" s="549"/>
      <c r="R74" s="549"/>
      <c r="S74" s="549"/>
      <c r="T74" s="549"/>
      <c r="U74" s="549"/>
      <c r="V74" s="549"/>
      <c r="W74" s="549"/>
      <c r="X74" s="549"/>
      <c r="Y74" s="549"/>
      <c r="Z74" s="549"/>
      <c r="AA74" s="549"/>
      <c r="AB74" s="549"/>
      <c r="AC74" s="549"/>
      <c r="AD74" s="549"/>
      <c r="AE74" s="549"/>
      <c r="AF74" s="549"/>
    </row>
    <row r="75" spans="1:32" ht="15.75" customHeight="1">
      <c r="A75" s="549"/>
      <c r="B75" s="549"/>
      <c r="C75" s="549"/>
      <c r="D75" s="549"/>
      <c r="E75" s="549"/>
      <c r="F75" s="549"/>
      <c r="G75" s="549"/>
      <c r="H75" s="549"/>
      <c r="I75" s="549"/>
      <c r="J75" s="549"/>
      <c r="K75" s="549"/>
      <c r="L75" s="549"/>
      <c r="M75" s="549"/>
      <c r="N75" s="549"/>
      <c r="O75" s="549"/>
      <c r="P75" s="549"/>
      <c r="Q75" s="549"/>
      <c r="R75" s="549"/>
      <c r="S75" s="549"/>
      <c r="T75" s="549"/>
      <c r="U75" s="549"/>
      <c r="V75" s="549"/>
      <c r="W75" s="549"/>
      <c r="X75" s="549"/>
      <c r="Y75" s="549"/>
      <c r="Z75" s="549"/>
      <c r="AA75" s="549"/>
      <c r="AB75" s="549"/>
      <c r="AC75" s="549"/>
      <c r="AD75" s="549"/>
      <c r="AE75" s="549"/>
      <c r="AF75" s="549"/>
    </row>
    <row r="76" spans="1:32" ht="15.75" customHeight="1">
      <c r="A76" s="549"/>
      <c r="B76" s="549"/>
      <c r="C76" s="549"/>
      <c r="D76" s="549"/>
      <c r="E76" s="549"/>
      <c r="F76" s="549"/>
      <c r="G76" s="549"/>
      <c r="H76" s="549"/>
      <c r="I76" s="549"/>
      <c r="J76" s="549"/>
      <c r="K76" s="549"/>
      <c r="L76" s="549"/>
      <c r="M76" s="549"/>
      <c r="N76" s="549"/>
      <c r="O76" s="549"/>
      <c r="P76" s="549"/>
      <c r="Q76" s="549"/>
      <c r="R76" s="549"/>
      <c r="S76" s="549"/>
      <c r="T76" s="549"/>
      <c r="U76" s="549"/>
      <c r="V76" s="549"/>
      <c r="W76" s="549"/>
      <c r="X76" s="549"/>
      <c r="Y76" s="549"/>
      <c r="Z76" s="549"/>
      <c r="AA76" s="549"/>
      <c r="AB76" s="549"/>
      <c r="AC76" s="549"/>
      <c r="AD76" s="549"/>
      <c r="AE76" s="549"/>
      <c r="AF76" s="549"/>
    </row>
    <row r="77" spans="1:32" ht="15.75" customHeight="1">
      <c r="A77" s="549"/>
      <c r="B77" s="549"/>
      <c r="C77" s="549"/>
      <c r="D77" s="549"/>
      <c r="E77" s="549"/>
      <c r="F77" s="549"/>
      <c r="G77" s="549"/>
      <c r="H77" s="549"/>
      <c r="I77" s="549"/>
      <c r="J77" s="549"/>
      <c r="K77" s="549"/>
      <c r="L77" s="549"/>
      <c r="M77" s="549"/>
      <c r="N77" s="549"/>
      <c r="O77" s="549"/>
      <c r="P77" s="549"/>
      <c r="Q77" s="549"/>
      <c r="R77" s="549"/>
      <c r="S77" s="549"/>
      <c r="T77" s="549"/>
      <c r="U77" s="549"/>
      <c r="V77" s="549"/>
      <c r="W77" s="549"/>
      <c r="X77" s="549"/>
      <c r="Y77" s="549"/>
      <c r="Z77" s="549"/>
      <c r="AA77" s="549"/>
      <c r="AB77" s="549"/>
      <c r="AC77" s="549"/>
      <c r="AD77" s="549"/>
      <c r="AE77" s="549"/>
      <c r="AF77" s="549"/>
    </row>
    <row r="78" spans="1:32" ht="15.75" customHeight="1">
      <c r="A78" s="549"/>
      <c r="B78" s="549"/>
      <c r="C78" s="549"/>
      <c r="D78" s="549"/>
      <c r="E78" s="549"/>
      <c r="F78" s="549"/>
      <c r="G78" s="549"/>
      <c r="H78" s="549"/>
      <c r="I78" s="549"/>
      <c r="J78" s="549"/>
      <c r="K78" s="549"/>
      <c r="L78" s="549"/>
      <c r="M78" s="549"/>
      <c r="N78" s="549"/>
      <c r="O78" s="549"/>
      <c r="P78" s="549"/>
      <c r="Q78" s="549"/>
      <c r="R78" s="549"/>
      <c r="S78" s="549"/>
      <c r="T78" s="549"/>
      <c r="U78" s="549"/>
      <c r="V78" s="549"/>
      <c r="W78" s="549"/>
      <c r="X78" s="549"/>
      <c r="Y78" s="549"/>
      <c r="Z78" s="549"/>
      <c r="AA78" s="549"/>
      <c r="AB78" s="549"/>
      <c r="AC78" s="549"/>
      <c r="AD78" s="549"/>
      <c r="AE78" s="549"/>
      <c r="AF78" s="549"/>
    </row>
    <row r="79" spans="1:32" ht="15.75" customHeight="1">
      <c r="A79" s="549"/>
      <c r="B79" s="549"/>
      <c r="C79" s="549"/>
      <c r="D79" s="549"/>
      <c r="E79" s="549"/>
      <c r="F79" s="549"/>
      <c r="G79" s="549"/>
      <c r="H79" s="549"/>
      <c r="I79" s="549"/>
      <c r="J79" s="549"/>
      <c r="K79" s="549"/>
      <c r="L79" s="549"/>
      <c r="M79" s="549"/>
      <c r="N79" s="549"/>
      <c r="O79" s="549"/>
      <c r="P79" s="549"/>
      <c r="Q79" s="549"/>
      <c r="R79" s="549"/>
      <c r="S79" s="549"/>
      <c r="T79" s="549"/>
      <c r="U79" s="549"/>
      <c r="V79" s="549"/>
      <c r="W79" s="549"/>
      <c r="X79" s="549"/>
      <c r="Y79" s="549"/>
      <c r="Z79" s="549"/>
      <c r="AA79" s="549"/>
      <c r="AB79" s="549"/>
      <c r="AC79" s="549"/>
      <c r="AD79" s="549"/>
      <c r="AE79" s="549"/>
      <c r="AF79" s="549"/>
    </row>
    <row r="80" spans="1:32" ht="15.75" customHeight="1">
      <c r="A80" s="549"/>
      <c r="B80" s="549"/>
      <c r="C80" s="549"/>
      <c r="D80" s="549"/>
      <c r="E80" s="549"/>
      <c r="F80" s="549"/>
      <c r="G80" s="549"/>
      <c r="H80" s="549"/>
      <c r="I80" s="549"/>
      <c r="J80" s="549"/>
      <c r="K80" s="549"/>
      <c r="L80" s="549"/>
      <c r="M80" s="549"/>
      <c r="N80" s="549"/>
      <c r="O80" s="549"/>
      <c r="P80" s="549"/>
      <c r="Q80" s="549"/>
      <c r="R80" s="549"/>
      <c r="S80" s="549"/>
      <c r="T80" s="549"/>
      <c r="U80" s="549"/>
      <c r="V80" s="549"/>
      <c r="W80" s="549"/>
      <c r="X80" s="549"/>
      <c r="Y80" s="549"/>
      <c r="Z80" s="549"/>
      <c r="AA80" s="549"/>
      <c r="AB80" s="549"/>
      <c r="AC80" s="549"/>
      <c r="AD80" s="549"/>
      <c r="AE80" s="549"/>
      <c r="AF80" s="549"/>
    </row>
    <row r="81" spans="1:32" ht="15.75" customHeight="1">
      <c r="A81" s="549"/>
      <c r="B81" s="549"/>
      <c r="C81" s="549"/>
      <c r="D81" s="549"/>
      <c r="E81" s="549"/>
      <c r="F81" s="549"/>
      <c r="G81" s="549"/>
      <c r="H81" s="549"/>
      <c r="I81" s="549"/>
      <c r="J81" s="549"/>
      <c r="K81" s="549"/>
      <c r="L81" s="549"/>
      <c r="M81" s="549"/>
      <c r="N81" s="549"/>
      <c r="O81" s="549"/>
      <c r="P81" s="549"/>
      <c r="Q81" s="549"/>
      <c r="R81" s="549"/>
      <c r="S81" s="549"/>
      <c r="T81" s="549"/>
      <c r="U81" s="549"/>
      <c r="V81" s="549"/>
      <c r="W81" s="549"/>
      <c r="X81" s="549"/>
      <c r="Y81" s="549"/>
      <c r="Z81" s="549"/>
      <c r="AA81" s="549"/>
      <c r="AB81" s="549"/>
      <c r="AC81" s="549"/>
      <c r="AD81" s="549"/>
      <c r="AE81" s="549"/>
      <c r="AF81" s="549"/>
    </row>
    <row r="82" spans="1:32" ht="15.75" customHeight="1">
      <c r="A82" s="549"/>
      <c r="B82" s="549"/>
      <c r="C82" s="549"/>
      <c r="D82" s="549"/>
      <c r="E82" s="549"/>
      <c r="F82" s="549"/>
      <c r="G82" s="549"/>
      <c r="H82" s="549"/>
      <c r="I82" s="549"/>
      <c r="J82" s="549"/>
      <c r="K82" s="549"/>
      <c r="L82" s="549"/>
      <c r="M82" s="549"/>
      <c r="N82" s="549"/>
      <c r="O82" s="549"/>
      <c r="P82" s="549"/>
      <c r="Q82" s="549"/>
      <c r="R82" s="549"/>
      <c r="S82" s="549"/>
      <c r="T82" s="549"/>
      <c r="U82" s="549"/>
      <c r="V82" s="549"/>
      <c r="W82" s="549"/>
      <c r="X82" s="549"/>
      <c r="Y82" s="549"/>
      <c r="Z82" s="549"/>
      <c r="AA82" s="549"/>
      <c r="AB82" s="549"/>
      <c r="AC82" s="549"/>
      <c r="AD82" s="549"/>
      <c r="AE82" s="549"/>
      <c r="AF82" s="549"/>
    </row>
    <row r="83" spans="1:32" ht="15.75" customHeight="1">
      <c r="A83" s="549"/>
      <c r="B83" s="549"/>
      <c r="C83" s="549"/>
      <c r="D83" s="549"/>
      <c r="E83" s="549"/>
      <c r="F83" s="549"/>
      <c r="G83" s="549"/>
      <c r="H83" s="549"/>
      <c r="I83" s="549"/>
      <c r="J83" s="549"/>
      <c r="K83" s="549"/>
      <c r="L83" s="549"/>
      <c r="M83" s="549"/>
      <c r="N83" s="549"/>
      <c r="O83" s="549"/>
      <c r="P83" s="549"/>
      <c r="Q83" s="549"/>
      <c r="R83" s="549"/>
      <c r="S83" s="549"/>
      <c r="T83" s="549"/>
      <c r="U83" s="549"/>
      <c r="V83" s="549"/>
      <c r="W83" s="549"/>
      <c r="X83" s="549"/>
      <c r="Y83" s="549"/>
      <c r="Z83" s="549"/>
      <c r="AA83" s="549"/>
      <c r="AB83" s="549"/>
      <c r="AC83" s="549"/>
      <c r="AD83" s="549"/>
      <c r="AE83" s="549"/>
      <c r="AF83" s="549"/>
    </row>
    <row r="84" spans="1:32" ht="15.75" customHeight="1">
      <c r="A84" s="549"/>
      <c r="B84" s="549"/>
      <c r="C84" s="549"/>
      <c r="D84" s="549"/>
      <c r="E84" s="549"/>
      <c r="F84" s="549"/>
      <c r="G84" s="549"/>
      <c r="H84" s="549"/>
      <c r="I84" s="549"/>
      <c r="J84" s="549"/>
      <c r="K84" s="549"/>
      <c r="L84" s="549"/>
      <c r="M84" s="549"/>
      <c r="N84" s="549"/>
      <c r="O84" s="549"/>
      <c r="P84" s="549"/>
      <c r="Q84" s="549"/>
      <c r="R84" s="549"/>
      <c r="S84" s="549"/>
      <c r="T84" s="549"/>
      <c r="U84" s="549"/>
      <c r="V84" s="549"/>
      <c r="W84" s="549"/>
      <c r="X84" s="549"/>
      <c r="Y84" s="549"/>
      <c r="Z84" s="549"/>
      <c r="AA84" s="549"/>
      <c r="AB84" s="549"/>
      <c r="AC84" s="549"/>
      <c r="AD84" s="549"/>
      <c r="AE84" s="549"/>
      <c r="AF84" s="549"/>
    </row>
    <row r="85" spans="1:32" ht="15.75" customHeight="1">
      <c r="A85" s="549"/>
      <c r="B85" s="549"/>
      <c r="C85" s="549"/>
      <c r="D85" s="549"/>
      <c r="E85" s="549"/>
      <c r="F85" s="549"/>
      <c r="G85" s="549"/>
      <c r="H85" s="549"/>
      <c r="I85" s="549"/>
      <c r="J85" s="549"/>
      <c r="K85" s="549"/>
      <c r="L85" s="549"/>
      <c r="M85" s="549"/>
      <c r="N85" s="549"/>
      <c r="O85" s="549"/>
      <c r="P85" s="549"/>
      <c r="Q85" s="549"/>
      <c r="R85" s="549"/>
      <c r="S85" s="549"/>
      <c r="T85" s="549"/>
      <c r="U85" s="549"/>
      <c r="V85" s="549"/>
      <c r="W85" s="549"/>
      <c r="X85" s="549"/>
      <c r="Y85" s="549"/>
      <c r="Z85" s="549"/>
      <c r="AA85" s="549"/>
      <c r="AB85" s="549"/>
      <c r="AC85" s="549"/>
      <c r="AD85" s="549"/>
      <c r="AE85" s="549"/>
      <c r="AF85" s="549"/>
    </row>
    <row r="86" spans="1:32" ht="15.75" customHeight="1">
      <c r="A86" s="549"/>
      <c r="B86" s="549"/>
      <c r="C86" s="549"/>
      <c r="D86" s="549"/>
      <c r="E86" s="549"/>
      <c r="F86" s="549"/>
      <c r="G86" s="549"/>
      <c r="H86" s="549"/>
      <c r="I86" s="549"/>
      <c r="J86" s="549"/>
      <c r="K86" s="549"/>
      <c r="L86" s="549"/>
      <c r="M86" s="549"/>
      <c r="N86" s="549"/>
      <c r="O86" s="549"/>
      <c r="P86" s="549"/>
      <c r="Q86" s="549"/>
      <c r="R86" s="549"/>
      <c r="S86" s="549"/>
      <c r="T86" s="549"/>
      <c r="U86" s="549"/>
      <c r="V86" s="549"/>
      <c r="W86" s="549"/>
      <c r="X86" s="549"/>
      <c r="Y86" s="549"/>
      <c r="Z86" s="549"/>
      <c r="AA86" s="549"/>
      <c r="AB86" s="549"/>
      <c r="AC86" s="549"/>
      <c r="AD86" s="549"/>
      <c r="AE86" s="549"/>
      <c r="AF86" s="549"/>
    </row>
    <row r="87" spans="1:32" ht="15.75" customHeight="1">
      <c r="A87" s="549"/>
      <c r="B87" s="549"/>
      <c r="C87" s="549"/>
      <c r="D87" s="549"/>
      <c r="E87" s="549"/>
      <c r="F87" s="549"/>
      <c r="G87" s="549"/>
      <c r="H87" s="549"/>
      <c r="I87" s="549"/>
      <c r="J87" s="549"/>
      <c r="K87" s="549"/>
      <c r="L87" s="549"/>
      <c r="M87" s="549"/>
      <c r="N87" s="549"/>
      <c r="O87" s="549"/>
      <c r="P87" s="549"/>
      <c r="Q87" s="549"/>
      <c r="R87" s="549"/>
      <c r="S87" s="549"/>
      <c r="T87" s="549"/>
      <c r="U87" s="549"/>
      <c r="V87" s="549"/>
      <c r="W87" s="549"/>
      <c r="X87" s="549"/>
      <c r="Y87" s="549"/>
      <c r="Z87" s="549"/>
      <c r="AA87" s="549"/>
      <c r="AB87" s="549"/>
      <c r="AC87" s="549"/>
      <c r="AD87" s="549"/>
      <c r="AE87" s="549"/>
      <c r="AF87" s="549"/>
    </row>
    <row r="88" spans="1:32" ht="15.75" customHeight="1">
      <c r="A88" s="549"/>
      <c r="B88" s="549"/>
      <c r="C88" s="549"/>
      <c r="D88" s="549"/>
      <c r="E88" s="549"/>
      <c r="F88" s="549"/>
      <c r="G88" s="549"/>
      <c r="H88" s="549"/>
      <c r="I88" s="549"/>
      <c r="J88" s="549"/>
      <c r="K88" s="549"/>
      <c r="L88" s="549"/>
      <c r="M88" s="549"/>
      <c r="N88" s="549"/>
      <c r="O88" s="549"/>
      <c r="P88" s="549"/>
      <c r="Q88" s="549"/>
      <c r="R88" s="549"/>
      <c r="S88" s="549"/>
      <c r="T88" s="549"/>
      <c r="U88" s="549"/>
      <c r="V88" s="549"/>
      <c r="W88" s="549"/>
      <c r="X88" s="549"/>
      <c r="Y88" s="549"/>
      <c r="Z88" s="549"/>
      <c r="AA88" s="549"/>
      <c r="AB88" s="549"/>
      <c r="AC88" s="549"/>
      <c r="AD88" s="549"/>
      <c r="AE88" s="549"/>
      <c r="AF88" s="549"/>
    </row>
    <row r="89" spans="1:32" ht="15.75" customHeight="1">
      <c r="A89" s="549"/>
      <c r="B89" s="549"/>
      <c r="C89" s="549"/>
      <c r="D89" s="549"/>
      <c r="E89" s="549"/>
      <c r="F89" s="549"/>
      <c r="G89" s="549"/>
      <c r="H89" s="549"/>
      <c r="I89" s="549"/>
      <c r="J89" s="549"/>
      <c r="K89" s="549"/>
      <c r="L89" s="549"/>
      <c r="M89" s="549"/>
      <c r="N89" s="549"/>
      <c r="O89" s="549"/>
      <c r="P89" s="549"/>
      <c r="Q89" s="549"/>
      <c r="R89" s="549"/>
      <c r="S89" s="549"/>
      <c r="T89" s="549"/>
      <c r="U89" s="549"/>
      <c r="V89" s="549"/>
      <c r="W89" s="549"/>
      <c r="X89" s="549"/>
      <c r="Y89" s="549"/>
      <c r="Z89" s="549"/>
      <c r="AA89" s="549"/>
      <c r="AB89" s="549"/>
      <c r="AC89" s="549"/>
      <c r="AD89" s="549"/>
      <c r="AE89" s="549"/>
      <c r="AF89" s="549"/>
    </row>
    <row r="90" spans="1:32" ht="15.75" customHeight="1">
      <c r="A90" s="549"/>
      <c r="B90" s="549"/>
      <c r="C90" s="549"/>
      <c r="D90" s="549"/>
      <c r="E90" s="549"/>
      <c r="F90" s="549"/>
      <c r="G90" s="549"/>
      <c r="H90" s="549"/>
      <c r="I90" s="549"/>
      <c r="J90" s="549"/>
      <c r="K90" s="549"/>
      <c r="L90" s="549"/>
      <c r="M90" s="549"/>
      <c r="N90" s="549"/>
      <c r="O90" s="549"/>
      <c r="P90" s="549"/>
      <c r="Q90" s="549"/>
      <c r="R90" s="549"/>
      <c r="S90" s="549"/>
      <c r="T90" s="549"/>
      <c r="U90" s="549"/>
      <c r="V90" s="549"/>
      <c r="W90" s="549"/>
      <c r="X90" s="549"/>
      <c r="Y90" s="549"/>
      <c r="Z90" s="549"/>
      <c r="AA90" s="549"/>
      <c r="AB90" s="549"/>
      <c r="AC90" s="549"/>
      <c r="AD90" s="549"/>
      <c r="AE90" s="549"/>
      <c r="AF90" s="549"/>
    </row>
    <row r="91" spans="1:32" ht="15.75" customHeight="1">
      <c r="A91" s="549"/>
      <c r="B91" s="549"/>
      <c r="C91" s="549"/>
      <c r="D91" s="549"/>
      <c r="E91" s="549"/>
      <c r="F91" s="549"/>
      <c r="G91" s="549"/>
      <c r="H91" s="549"/>
      <c r="I91" s="549"/>
      <c r="J91" s="549"/>
      <c r="K91" s="549"/>
      <c r="L91" s="549"/>
      <c r="M91" s="549"/>
      <c r="N91" s="549"/>
      <c r="O91" s="549"/>
      <c r="P91" s="549"/>
      <c r="Q91" s="549"/>
      <c r="R91" s="549"/>
      <c r="S91" s="549"/>
      <c r="T91" s="549"/>
      <c r="U91" s="549"/>
      <c r="V91" s="549"/>
      <c r="W91" s="549"/>
      <c r="X91" s="549"/>
      <c r="Y91" s="549"/>
      <c r="Z91" s="549"/>
      <c r="AA91" s="549"/>
      <c r="AB91" s="549"/>
      <c r="AC91" s="549"/>
      <c r="AD91" s="549"/>
      <c r="AE91" s="549"/>
      <c r="AF91" s="549"/>
    </row>
    <row r="92" spans="1:32" ht="15.75" customHeight="1">
      <c r="A92" s="549"/>
      <c r="B92" s="549"/>
      <c r="C92" s="549"/>
      <c r="D92" s="549"/>
      <c r="E92" s="549"/>
      <c r="F92" s="549"/>
      <c r="G92" s="549"/>
      <c r="H92" s="549"/>
      <c r="I92" s="549"/>
      <c r="J92" s="549"/>
      <c r="K92" s="549"/>
      <c r="L92" s="549"/>
      <c r="M92" s="549"/>
      <c r="N92" s="549"/>
      <c r="O92" s="549"/>
      <c r="P92" s="549"/>
      <c r="Q92" s="549"/>
      <c r="R92" s="549"/>
      <c r="S92" s="549"/>
      <c r="T92" s="549"/>
      <c r="U92" s="549"/>
      <c r="V92" s="549"/>
      <c r="W92" s="549"/>
      <c r="X92" s="549"/>
      <c r="Y92" s="549"/>
      <c r="Z92" s="549"/>
      <c r="AA92" s="549"/>
      <c r="AB92" s="549"/>
      <c r="AC92" s="549"/>
      <c r="AD92" s="549"/>
      <c r="AE92" s="549"/>
      <c r="AF92" s="549"/>
    </row>
    <row r="93" spans="1:32" ht="15.75" customHeight="1">
      <c r="A93" s="549"/>
      <c r="B93" s="549"/>
      <c r="C93" s="549"/>
      <c r="D93" s="549"/>
      <c r="E93" s="549"/>
      <c r="F93" s="549"/>
      <c r="G93" s="549"/>
      <c r="H93" s="549"/>
      <c r="I93" s="549"/>
      <c r="J93" s="549"/>
      <c r="K93" s="549"/>
      <c r="L93" s="549"/>
      <c r="M93" s="549"/>
      <c r="N93" s="549"/>
      <c r="O93" s="549"/>
      <c r="P93" s="549"/>
      <c r="Q93" s="549"/>
      <c r="R93" s="549"/>
      <c r="S93" s="549"/>
      <c r="T93" s="549"/>
      <c r="U93" s="549"/>
      <c r="V93" s="549"/>
      <c r="W93" s="549"/>
      <c r="X93" s="549"/>
      <c r="Y93" s="549"/>
      <c r="Z93" s="549"/>
      <c r="AA93" s="549"/>
      <c r="AB93" s="549"/>
      <c r="AC93" s="549"/>
      <c r="AD93" s="549"/>
      <c r="AE93" s="549"/>
      <c r="AF93" s="549"/>
    </row>
    <row r="94" spans="1:32" ht="15.75" customHeight="1">
      <c r="A94" s="549"/>
      <c r="B94" s="549"/>
      <c r="C94" s="549"/>
      <c r="D94" s="549"/>
      <c r="E94" s="549"/>
      <c r="F94" s="549"/>
      <c r="G94" s="549"/>
      <c r="H94" s="549"/>
      <c r="I94" s="549"/>
      <c r="J94" s="549"/>
      <c r="K94" s="549"/>
      <c r="L94" s="549"/>
      <c r="M94" s="549"/>
      <c r="N94" s="549"/>
      <c r="O94" s="549"/>
      <c r="P94" s="549"/>
      <c r="Q94" s="549"/>
      <c r="R94" s="549"/>
      <c r="S94" s="549"/>
      <c r="T94" s="549"/>
      <c r="U94" s="549"/>
      <c r="V94" s="549"/>
      <c r="W94" s="549"/>
      <c r="X94" s="549"/>
      <c r="Y94" s="549"/>
      <c r="Z94" s="549"/>
      <c r="AA94" s="549"/>
      <c r="AB94" s="549"/>
      <c r="AC94" s="549"/>
      <c r="AD94" s="549"/>
      <c r="AE94" s="549"/>
      <c r="AF94" s="549"/>
    </row>
    <row r="95" spans="1:32" ht="15.75" customHeight="1">
      <c r="A95" s="549"/>
      <c r="B95" s="549"/>
      <c r="C95" s="549"/>
      <c r="D95" s="549"/>
      <c r="E95" s="549"/>
      <c r="F95" s="549"/>
      <c r="G95" s="549"/>
      <c r="H95" s="549"/>
      <c r="I95" s="549"/>
      <c r="J95" s="549"/>
      <c r="K95" s="549"/>
      <c r="L95" s="549"/>
      <c r="M95" s="549"/>
      <c r="N95" s="549"/>
      <c r="O95" s="549"/>
      <c r="P95" s="549"/>
      <c r="Q95" s="549"/>
      <c r="R95" s="549"/>
      <c r="S95" s="549"/>
      <c r="T95" s="549"/>
      <c r="U95" s="549"/>
      <c r="V95" s="549"/>
      <c r="W95" s="549"/>
      <c r="X95" s="549"/>
      <c r="Y95" s="549"/>
      <c r="Z95" s="549"/>
      <c r="AA95" s="549"/>
      <c r="AB95" s="549"/>
      <c r="AC95" s="549"/>
      <c r="AD95" s="549"/>
      <c r="AE95" s="549"/>
      <c r="AF95" s="549"/>
    </row>
    <row r="96" spans="1:32" ht="15.75" customHeight="1">
      <c r="A96" s="549"/>
      <c r="B96" s="549"/>
      <c r="C96" s="549"/>
      <c r="D96" s="549"/>
      <c r="E96" s="549"/>
      <c r="F96" s="549"/>
      <c r="G96" s="549"/>
      <c r="H96" s="549"/>
      <c r="I96" s="549"/>
      <c r="J96" s="549"/>
      <c r="K96" s="549"/>
      <c r="L96" s="549"/>
      <c r="M96" s="549"/>
      <c r="N96" s="549"/>
      <c r="O96" s="549"/>
      <c r="P96" s="549"/>
      <c r="Q96" s="549"/>
      <c r="R96" s="549"/>
      <c r="S96" s="549"/>
      <c r="T96" s="549"/>
      <c r="U96" s="549"/>
      <c r="V96" s="549"/>
      <c r="W96" s="549"/>
      <c r="X96" s="549"/>
      <c r="Y96" s="549"/>
      <c r="Z96" s="549"/>
      <c r="AA96" s="549"/>
      <c r="AB96" s="549"/>
      <c r="AC96" s="549"/>
      <c r="AD96" s="549"/>
      <c r="AE96" s="549"/>
      <c r="AF96" s="549"/>
    </row>
    <row r="97" spans="1:32" ht="15.75" customHeight="1">
      <c r="A97" s="549"/>
      <c r="B97" s="549"/>
      <c r="C97" s="549"/>
      <c r="D97" s="549"/>
      <c r="E97" s="549"/>
      <c r="F97" s="549"/>
      <c r="G97" s="549"/>
      <c r="H97" s="549"/>
      <c r="I97" s="549"/>
      <c r="J97" s="549"/>
      <c r="K97" s="549"/>
      <c r="L97" s="549"/>
      <c r="M97" s="549"/>
      <c r="N97" s="549"/>
      <c r="O97" s="549"/>
      <c r="P97" s="549"/>
      <c r="Q97" s="549"/>
      <c r="R97" s="549"/>
      <c r="S97" s="549"/>
      <c r="T97" s="549"/>
      <c r="U97" s="549"/>
      <c r="V97" s="549"/>
      <c r="W97" s="549"/>
      <c r="X97" s="549"/>
      <c r="Y97" s="549"/>
      <c r="Z97" s="549"/>
      <c r="AA97" s="549"/>
      <c r="AB97" s="549"/>
      <c r="AC97" s="549"/>
      <c r="AD97" s="549"/>
      <c r="AE97" s="549"/>
      <c r="AF97" s="549"/>
    </row>
    <row r="98" spans="1:32" ht="15.75" customHeight="1">
      <c r="A98" s="549"/>
      <c r="B98" s="549"/>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49"/>
      <c r="AA98" s="549"/>
      <c r="AB98" s="549"/>
      <c r="AC98" s="549"/>
      <c r="AD98" s="549"/>
      <c r="AE98" s="549"/>
      <c r="AF98" s="549"/>
    </row>
    <row r="99" spans="1:32" ht="15.75" customHeight="1">
      <c r="A99" s="549"/>
      <c r="B99" s="549"/>
      <c r="C99" s="549"/>
      <c r="D99" s="549"/>
      <c r="E99" s="549"/>
      <c r="F99" s="549"/>
      <c r="G99" s="549"/>
      <c r="H99" s="549"/>
      <c r="I99" s="549"/>
      <c r="J99" s="549"/>
      <c r="K99" s="549"/>
      <c r="L99" s="549"/>
      <c r="M99" s="549"/>
      <c r="N99" s="549"/>
      <c r="O99" s="549"/>
      <c r="P99" s="549"/>
      <c r="Q99" s="549"/>
      <c r="R99" s="549"/>
      <c r="S99" s="549"/>
      <c r="T99" s="549"/>
      <c r="U99" s="549"/>
      <c r="V99" s="549"/>
      <c r="W99" s="549"/>
      <c r="X99" s="549"/>
      <c r="Y99" s="549"/>
      <c r="Z99" s="549"/>
      <c r="AA99" s="549"/>
      <c r="AB99" s="549"/>
      <c r="AC99" s="549"/>
      <c r="AD99" s="549"/>
      <c r="AE99" s="549"/>
      <c r="AF99" s="549"/>
    </row>
    <row r="100" spans="1:32" ht="15.75" customHeight="1">
      <c r="A100" s="549"/>
      <c r="B100" s="549"/>
      <c r="C100" s="549"/>
      <c r="D100" s="549"/>
      <c r="E100" s="549"/>
      <c r="F100" s="549"/>
      <c r="G100" s="549"/>
      <c r="H100" s="549"/>
      <c r="I100" s="549"/>
      <c r="J100" s="549"/>
      <c r="K100" s="549"/>
      <c r="L100" s="549"/>
      <c r="M100" s="549"/>
      <c r="N100" s="549"/>
      <c r="O100" s="549"/>
      <c r="P100" s="549"/>
      <c r="Q100" s="549"/>
      <c r="R100" s="549"/>
      <c r="S100" s="549"/>
      <c r="T100" s="549"/>
      <c r="U100" s="549"/>
      <c r="V100" s="549"/>
      <c r="W100" s="549"/>
      <c r="X100" s="549"/>
      <c r="Y100" s="549"/>
      <c r="Z100" s="549"/>
      <c r="AA100" s="549"/>
      <c r="AB100" s="549"/>
      <c r="AC100" s="549"/>
      <c r="AD100" s="549"/>
      <c r="AE100" s="549"/>
      <c r="AF100" s="549"/>
    </row>
    <row r="101" spans="1:32" ht="15.75" customHeight="1">
      <c r="A101" s="549"/>
      <c r="B101" s="549"/>
      <c r="C101" s="549"/>
      <c r="D101" s="549"/>
      <c r="E101" s="549"/>
      <c r="F101" s="549"/>
      <c r="G101" s="549"/>
      <c r="H101" s="549"/>
      <c r="I101" s="549"/>
      <c r="J101" s="549"/>
      <c r="K101" s="549"/>
      <c r="L101" s="549"/>
      <c r="M101" s="549"/>
      <c r="N101" s="549"/>
      <c r="O101" s="549"/>
      <c r="P101" s="549"/>
      <c r="Q101" s="549"/>
      <c r="R101" s="549"/>
      <c r="S101" s="549"/>
      <c r="T101" s="549"/>
      <c r="U101" s="549"/>
      <c r="V101" s="549"/>
      <c r="W101" s="549"/>
      <c r="X101" s="549"/>
      <c r="Y101" s="549"/>
      <c r="Z101" s="549"/>
      <c r="AA101" s="549"/>
      <c r="AB101" s="549"/>
      <c r="AC101" s="549"/>
      <c r="AD101" s="549"/>
      <c r="AE101" s="549"/>
      <c r="AF101" s="549"/>
    </row>
    <row r="102" spans="1:32" ht="15.75" customHeight="1">
      <c r="A102" s="549"/>
      <c r="B102" s="549"/>
      <c r="C102" s="549"/>
      <c r="D102" s="549"/>
      <c r="E102" s="549"/>
      <c r="F102" s="549"/>
      <c r="G102" s="549"/>
      <c r="H102" s="549"/>
      <c r="I102" s="549"/>
      <c r="J102" s="549"/>
      <c r="K102" s="549"/>
      <c r="L102" s="549"/>
      <c r="M102" s="549"/>
      <c r="N102" s="549"/>
      <c r="O102" s="549"/>
      <c r="P102" s="549"/>
      <c r="Q102" s="549"/>
      <c r="R102" s="549"/>
      <c r="S102" s="549"/>
      <c r="T102" s="549"/>
      <c r="U102" s="549"/>
      <c r="V102" s="549"/>
      <c r="W102" s="549"/>
      <c r="X102" s="549"/>
      <c r="Y102" s="549"/>
      <c r="Z102" s="549"/>
      <c r="AA102" s="549"/>
      <c r="AB102" s="549"/>
      <c r="AC102" s="549"/>
      <c r="AD102" s="549"/>
      <c r="AE102" s="549"/>
      <c r="AF102" s="549"/>
    </row>
    <row r="103" spans="1:32" ht="15.75" customHeight="1">
      <c r="A103" s="549"/>
      <c r="B103" s="549"/>
      <c r="C103" s="549"/>
      <c r="D103" s="549"/>
      <c r="E103" s="549"/>
      <c r="F103" s="549"/>
      <c r="G103" s="549"/>
      <c r="H103" s="549"/>
      <c r="I103" s="549"/>
      <c r="J103" s="549"/>
      <c r="K103" s="549"/>
      <c r="L103" s="549"/>
      <c r="M103" s="549"/>
      <c r="N103" s="549"/>
      <c r="O103" s="549"/>
      <c r="P103" s="549"/>
      <c r="Q103" s="549"/>
      <c r="R103" s="549"/>
      <c r="S103" s="549"/>
      <c r="T103" s="549"/>
      <c r="U103" s="549"/>
      <c r="V103" s="549"/>
      <c r="W103" s="549"/>
      <c r="X103" s="549"/>
      <c r="Y103" s="549"/>
      <c r="Z103" s="549"/>
      <c r="AA103" s="549"/>
      <c r="AB103" s="549"/>
      <c r="AC103" s="549"/>
      <c r="AD103" s="549"/>
      <c r="AE103" s="549"/>
      <c r="AF103" s="549"/>
    </row>
    <row r="104" spans="1:32" ht="15.75" customHeight="1">
      <c r="A104" s="549"/>
      <c r="B104" s="549"/>
      <c r="C104" s="549"/>
      <c r="D104" s="549"/>
      <c r="E104" s="549"/>
      <c r="F104" s="549"/>
      <c r="G104" s="549"/>
      <c r="H104" s="549"/>
      <c r="I104" s="549"/>
      <c r="J104" s="549"/>
      <c r="K104" s="549"/>
      <c r="L104" s="549"/>
      <c r="M104" s="549"/>
      <c r="N104" s="549"/>
      <c r="O104" s="549"/>
      <c r="P104" s="549"/>
      <c r="Q104" s="549"/>
      <c r="R104" s="549"/>
      <c r="S104" s="549"/>
      <c r="T104" s="549"/>
      <c r="U104" s="549"/>
      <c r="V104" s="549"/>
      <c r="W104" s="549"/>
      <c r="X104" s="549"/>
      <c r="Y104" s="549"/>
      <c r="Z104" s="549"/>
      <c r="AA104" s="549"/>
      <c r="AB104" s="549"/>
      <c r="AC104" s="549"/>
      <c r="AD104" s="549"/>
      <c r="AE104" s="549"/>
      <c r="AF104" s="549"/>
    </row>
    <row r="105" spans="1:32" ht="15.75" customHeight="1">
      <c r="A105" s="549"/>
      <c r="B105" s="549"/>
      <c r="C105" s="549"/>
      <c r="D105" s="549"/>
      <c r="E105" s="549"/>
      <c r="F105" s="549"/>
      <c r="G105" s="549"/>
      <c r="H105" s="549"/>
      <c r="I105" s="549"/>
      <c r="J105" s="549"/>
      <c r="K105" s="549"/>
      <c r="L105" s="549"/>
      <c r="M105" s="549"/>
      <c r="N105" s="549"/>
      <c r="O105" s="549"/>
      <c r="P105" s="549"/>
      <c r="Q105" s="549"/>
      <c r="R105" s="549"/>
      <c r="S105" s="549"/>
      <c r="T105" s="549"/>
      <c r="U105" s="549"/>
      <c r="V105" s="549"/>
      <c r="W105" s="549"/>
      <c r="X105" s="549"/>
      <c r="Y105" s="549"/>
      <c r="Z105" s="549"/>
      <c r="AA105" s="549"/>
      <c r="AB105" s="549"/>
      <c r="AC105" s="549"/>
      <c r="AD105" s="549"/>
      <c r="AE105" s="549"/>
      <c r="AF105" s="549"/>
    </row>
    <row r="106" spans="1:32" ht="15.75" customHeight="1">
      <c r="A106" s="549"/>
      <c r="B106" s="549"/>
      <c r="C106" s="549"/>
      <c r="D106" s="549"/>
      <c r="E106" s="549"/>
      <c r="F106" s="549"/>
      <c r="G106" s="549"/>
      <c r="H106" s="549"/>
      <c r="I106" s="549"/>
      <c r="J106" s="549"/>
      <c r="K106" s="549"/>
      <c r="L106" s="549"/>
      <c r="M106" s="549"/>
      <c r="N106" s="549"/>
      <c r="O106" s="549"/>
      <c r="P106" s="549"/>
      <c r="Q106" s="549"/>
      <c r="R106" s="549"/>
      <c r="S106" s="549"/>
      <c r="T106" s="549"/>
      <c r="U106" s="549"/>
      <c r="V106" s="549"/>
      <c r="W106" s="549"/>
      <c r="X106" s="549"/>
      <c r="Y106" s="549"/>
      <c r="Z106" s="549"/>
      <c r="AA106" s="549"/>
      <c r="AB106" s="549"/>
      <c r="AC106" s="549"/>
      <c r="AD106" s="549"/>
      <c r="AE106" s="549"/>
      <c r="AF106" s="549"/>
    </row>
    <row r="107" spans="1:32" ht="15.75" customHeight="1">
      <c r="A107" s="549"/>
      <c r="B107" s="549"/>
      <c r="C107" s="549"/>
      <c r="D107" s="549"/>
      <c r="E107" s="549"/>
      <c r="F107" s="549"/>
      <c r="G107" s="549"/>
      <c r="H107" s="549"/>
      <c r="I107" s="549"/>
      <c r="J107" s="549"/>
      <c r="K107" s="549"/>
      <c r="L107" s="549"/>
      <c r="M107" s="549"/>
      <c r="N107" s="549"/>
      <c r="O107" s="549"/>
      <c r="P107" s="549"/>
      <c r="Q107" s="549"/>
      <c r="R107" s="549"/>
      <c r="S107" s="549"/>
      <c r="T107" s="549"/>
      <c r="U107" s="549"/>
      <c r="V107" s="549"/>
      <c r="W107" s="549"/>
      <c r="X107" s="549"/>
      <c r="Y107" s="549"/>
      <c r="Z107" s="549"/>
      <c r="AA107" s="549"/>
      <c r="AB107" s="549"/>
      <c r="AC107" s="549"/>
      <c r="AD107" s="549"/>
      <c r="AE107" s="549"/>
      <c r="AF107" s="549"/>
    </row>
    <row r="108" spans="1:32" ht="15.75" customHeight="1">
      <c r="A108" s="549"/>
      <c r="B108" s="549"/>
      <c r="C108" s="549"/>
      <c r="D108" s="549"/>
      <c r="E108" s="549"/>
      <c r="F108" s="549"/>
      <c r="G108" s="549"/>
      <c r="H108" s="549"/>
      <c r="I108" s="549"/>
      <c r="J108" s="549"/>
      <c r="K108" s="549"/>
      <c r="L108" s="549"/>
      <c r="M108" s="549"/>
      <c r="N108" s="549"/>
      <c r="O108" s="549"/>
      <c r="P108" s="549"/>
      <c r="Q108" s="549"/>
      <c r="R108" s="549"/>
      <c r="S108" s="549"/>
      <c r="T108" s="549"/>
      <c r="U108" s="549"/>
      <c r="V108" s="549"/>
      <c r="W108" s="549"/>
      <c r="X108" s="549"/>
      <c r="Y108" s="549"/>
      <c r="Z108" s="549"/>
      <c r="AA108" s="549"/>
      <c r="AB108" s="549"/>
      <c r="AC108" s="549"/>
      <c r="AD108" s="549"/>
      <c r="AE108" s="549"/>
      <c r="AF108" s="549"/>
    </row>
    <row r="109" spans="1:32" ht="15.75" customHeight="1">
      <c r="A109" s="549"/>
      <c r="B109" s="549"/>
      <c r="C109" s="549"/>
      <c r="D109" s="549"/>
      <c r="E109" s="549"/>
      <c r="F109" s="549"/>
      <c r="G109" s="549"/>
      <c r="H109" s="549"/>
      <c r="I109" s="549"/>
      <c r="J109" s="549"/>
      <c r="K109" s="549"/>
      <c r="L109" s="549"/>
      <c r="M109" s="549"/>
      <c r="N109" s="549"/>
      <c r="O109" s="549"/>
      <c r="P109" s="549"/>
      <c r="Q109" s="549"/>
      <c r="R109" s="549"/>
      <c r="S109" s="549"/>
      <c r="T109" s="549"/>
      <c r="U109" s="549"/>
      <c r="V109" s="549"/>
      <c r="W109" s="549"/>
      <c r="X109" s="549"/>
      <c r="Y109" s="549"/>
      <c r="Z109" s="549"/>
      <c r="AA109" s="549"/>
      <c r="AB109" s="549"/>
      <c r="AC109" s="549"/>
      <c r="AD109" s="549"/>
      <c r="AE109" s="549"/>
      <c r="AF109" s="549"/>
    </row>
    <row r="110" spans="1:32" ht="15.75" customHeight="1">
      <c r="A110" s="549"/>
      <c r="B110" s="549"/>
      <c r="C110" s="549"/>
      <c r="D110" s="549"/>
      <c r="E110" s="549"/>
      <c r="F110" s="549"/>
      <c r="G110" s="549"/>
      <c r="H110" s="549"/>
      <c r="I110" s="549"/>
      <c r="J110" s="549"/>
      <c r="K110" s="549"/>
      <c r="L110" s="549"/>
      <c r="M110" s="549"/>
      <c r="N110" s="549"/>
      <c r="O110" s="549"/>
      <c r="P110" s="549"/>
      <c r="Q110" s="549"/>
      <c r="R110" s="549"/>
      <c r="S110" s="549"/>
      <c r="T110" s="549"/>
      <c r="U110" s="549"/>
      <c r="V110" s="549"/>
      <c r="W110" s="549"/>
      <c r="X110" s="549"/>
      <c r="Y110" s="549"/>
      <c r="Z110" s="549"/>
      <c r="AA110" s="549"/>
      <c r="AB110" s="549"/>
      <c r="AC110" s="549"/>
      <c r="AD110" s="549"/>
      <c r="AE110" s="549"/>
      <c r="AF110" s="549"/>
    </row>
    <row r="111" spans="1:32" ht="15.75" customHeight="1">
      <c r="A111" s="549"/>
      <c r="B111" s="549"/>
      <c r="C111" s="549"/>
      <c r="D111" s="549"/>
      <c r="E111" s="549"/>
      <c r="F111" s="549"/>
      <c r="G111" s="549"/>
      <c r="H111" s="549"/>
      <c r="I111" s="549"/>
      <c r="J111" s="549"/>
      <c r="K111" s="549"/>
      <c r="L111" s="549"/>
      <c r="M111" s="549"/>
      <c r="N111" s="549"/>
      <c r="O111" s="549"/>
      <c r="P111" s="549"/>
      <c r="Q111" s="549"/>
      <c r="R111" s="549"/>
      <c r="S111" s="549"/>
      <c r="T111" s="549"/>
      <c r="U111" s="549"/>
      <c r="V111" s="549"/>
      <c r="W111" s="549"/>
      <c r="X111" s="549"/>
      <c r="Y111" s="549"/>
      <c r="Z111" s="549"/>
      <c r="AA111" s="549"/>
      <c r="AB111" s="549"/>
      <c r="AC111" s="549"/>
      <c r="AD111" s="549"/>
      <c r="AE111" s="549"/>
      <c r="AF111" s="549"/>
    </row>
    <row r="112" spans="1:32" ht="15.75" customHeight="1">
      <c r="A112" s="549"/>
      <c r="B112" s="549"/>
      <c r="C112" s="549"/>
      <c r="D112" s="549"/>
      <c r="E112" s="549"/>
      <c r="F112" s="549"/>
      <c r="G112" s="549"/>
      <c r="H112" s="549"/>
      <c r="I112" s="549"/>
      <c r="J112" s="549"/>
      <c r="K112" s="549"/>
      <c r="L112" s="549"/>
      <c r="M112" s="549"/>
      <c r="N112" s="549"/>
      <c r="O112" s="549"/>
      <c r="P112" s="549"/>
      <c r="Q112" s="549"/>
      <c r="R112" s="549"/>
      <c r="S112" s="549"/>
      <c r="T112" s="549"/>
      <c r="U112" s="549"/>
      <c r="V112" s="549"/>
      <c r="W112" s="549"/>
      <c r="X112" s="549"/>
      <c r="Y112" s="549"/>
      <c r="Z112" s="549"/>
      <c r="AA112" s="549"/>
      <c r="AB112" s="549"/>
      <c r="AC112" s="549"/>
      <c r="AD112" s="549"/>
      <c r="AE112" s="549"/>
      <c r="AF112" s="549"/>
    </row>
    <row r="113" spans="1:32" ht="15.75" customHeight="1">
      <c r="A113" s="549"/>
      <c r="B113" s="549"/>
      <c r="C113" s="549"/>
      <c r="D113" s="549"/>
      <c r="E113" s="549"/>
      <c r="F113" s="549"/>
      <c r="G113" s="549"/>
      <c r="H113" s="549"/>
      <c r="I113" s="549"/>
      <c r="J113" s="549"/>
      <c r="K113" s="549"/>
      <c r="L113" s="549"/>
      <c r="M113" s="549"/>
      <c r="N113" s="549"/>
      <c r="O113" s="549"/>
      <c r="P113" s="549"/>
      <c r="Q113" s="549"/>
      <c r="R113" s="549"/>
      <c r="S113" s="549"/>
      <c r="T113" s="549"/>
      <c r="U113" s="549"/>
      <c r="V113" s="549"/>
      <c r="W113" s="549"/>
      <c r="X113" s="549"/>
      <c r="Y113" s="549"/>
      <c r="Z113" s="549"/>
      <c r="AA113" s="549"/>
      <c r="AB113" s="549"/>
      <c r="AC113" s="549"/>
      <c r="AD113" s="549"/>
      <c r="AE113" s="549"/>
      <c r="AF113" s="549"/>
    </row>
    <row r="114" spans="1:32" ht="15.75" customHeight="1">
      <c r="A114" s="549"/>
      <c r="B114" s="549"/>
      <c r="C114" s="549"/>
      <c r="D114" s="549"/>
      <c r="E114" s="549"/>
      <c r="F114" s="549"/>
      <c r="G114" s="549"/>
      <c r="H114" s="549"/>
      <c r="I114" s="549"/>
      <c r="J114" s="549"/>
      <c r="K114" s="549"/>
      <c r="L114" s="549"/>
      <c r="M114" s="549"/>
      <c r="N114" s="549"/>
      <c r="O114" s="549"/>
      <c r="P114" s="549"/>
      <c r="Q114" s="549"/>
      <c r="R114" s="549"/>
      <c r="S114" s="549"/>
      <c r="T114" s="549"/>
      <c r="U114" s="549"/>
      <c r="V114" s="549"/>
      <c r="W114" s="549"/>
      <c r="X114" s="549"/>
      <c r="Y114" s="549"/>
      <c r="Z114" s="549"/>
      <c r="AA114" s="549"/>
      <c r="AB114" s="549"/>
      <c r="AC114" s="549"/>
      <c r="AD114" s="549"/>
      <c r="AE114" s="549"/>
      <c r="AF114" s="549"/>
    </row>
    <row r="115" spans="1:32" ht="15.75" customHeight="1">
      <c r="A115" s="549"/>
      <c r="B115" s="549"/>
      <c r="C115" s="549"/>
      <c r="D115" s="549"/>
      <c r="E115" s="549"/>
      <c r="F115" s="549"/>
      <c r="G115" s="549"/>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row>
    <row r="116" spans="1:32" ht="15.75" customHeight="1">
      <c r="A116" s="549"/>
      <c r="B116" s="549"/>
      <c r="C116" s="549"/>
      <c r="D116" s="549"/>
      <c r="E116" s="549"/>
      <c r="F116" s="549"/>
      <c r="G116" s="549"/>
      <c r="H116" s="549"/>
      <c r="I116" s="549"/>
      <c r="J116" s="549"/>
      <c r="K116" s="549"/>
      <c r="L116" s="549"/>
      <c r="M116" s="549"/>
      <c r="N116" s="549"/>
      <c r="O116" s="549"/>
      <c r="P116" s="549"/>
      <c r="Q116" s="549"/>
      <c r="R116" s="549"/>
      <c r="S116" s="549"/>
      <c r="T116" s="549"/>
      <c r="U116" s="549"/>
      <c r="V116" s="549"/>
      <c r="W116" s="549"/>
      <c r="X116" s="549"/>
      <c r="Y116" s="549"/>
      <c r="Z116" s="549"/>
      <c r="AA116" s="549"/>
      <c r="AB116" s="549"/>
      <c r="AC116" s="549"/>
      <c r="AD116" s="549"/>
      <c r="AE116" s="549"/>
      <c r="AF116" s="549"/>
    </row>
    <row r="117" spans="1:32" ht="15.75" customHeight="1">
      <c r="A117" s="549"/>
      <c r="B117" s="549"/>
      <c r="C117" s="549"/>
      <c r="D117" s="549"/>
      <c r="E117" s="549"/>
      <c r="F117" s="549"/>
      <c r="G117" s="549"/>
      <c r="H117" s="549"/>
      <c r="I117" s="549"/>
      <c r="J117" s="549"/>
      <c r="K117" s="549"/>
      <c r="L117" s="549"/>
      <c r="M117" s="549"/>
      <c r="N117" s="549"/>
      <c r="O117" s="549"/>
      <c r="P117" s="549"/>
      <c r="Q117" s="549"/>
      <c r="R117" s="549"/>
      <c r="S117" s="549"/>
      <c r="T117" s="549"/>
      <c r="U117" s="549"/>
      <c r="V117" s="549"/>
      <c r="W117" s="549"/>
      <c r="X117" s="549"/>
      <c r="Y117" s="549"/>
      <c r="Z117" s="549"/>
      <c r="AA117" s="549"/>
      <c r="AB117" s="549"/>
      <c r="AC117" s="549"/>
      <c r="AD117" s="549"/>
      <c r="AE117" s="549"/>
      <c r="AF117" s="549"/>
    </row>
    <row r="118" spans="1:32" ht="15.75" customHeight="1">
      <c r="A118" s="549"/>
      <c r="B118" s="549"/>
      <c r="C118" s="549"/>
      <c r="D118" s="549"/>
      <c r="E118" s="549"/>
      <c r="F118" s="549"/>
      <c r="G118" s="549"/>
      <c r="H118" s="549"/>
      <c r="I118" s="549"/>
      <c r="J118" s="549"/>
      <c r="K118" s="549"/>
      <c r="L118" s="549"/>
      <c r="M118" s="549"/>
      <c r="N118" s="549"/>
      <c r="O118" s="549"/>
      <c r="P118" s="549"/>
      <c r="Q118" s="549"/>
      <c r="R118" s="549"/>
      <c r="S118" s="549"/>
      <c r="T118" s="549"/>
      <c r="U118" s="549"/>
      <c r="V118" s="549"/>
      <c r="W118" s="549"/>
      <c r="X118" s="549"/>
      <c r="Y118" s="549"/>
      <c r="Z118" s="549"/>
      <c r="AA118" s="549"/>
      <c r="AB118" s="549"/>
      <c r="AC118" s="549"/>
      <c r="AD118" s="549"/>
      <c r="AE118" s="549"/>
      <c r="AF118" s="549"/>
    </row>
    <row r="119" spans="1:32" ht="15.75" customHeight="1">
      <c r="A119" s="549"/>
      <c r="B119" s="549"/>
      <c r="C119" s="549"/>
      <c r="D119" s="549"/>
      <c r="E119" s="549"/>
      <c r="F119" s="549"/>
      <c r="G119" s="549"/>
      <c r="H119" s="549"/>
      <c r="I119" s="549"/>
      <c r="J119" s="549"/>
      <c r="K119" s="549"/>
      <c r="L119" s="549"/>
      <c r="M119" s="549"/>
      <c r="N119" s="549"/>
      <c r="O119" s="549"/>
      <c r="P119" s="549"/>
      <c r="Q119" s="549"/>
      <c r="R119" s="549"/>
      <c r="S119" s="549"/>
      <c r="T119" s="549"/>
      <c r="U119" s="549"/>
      <c r="V119" s="549"/>
      <c r="W119" s="549"/>
      <c r="X119" s="549"/>
      <c r="Y119" s="549"/>
      <c r="Z119" s="549"/>
      <c r="AA119" s="549"/>
      <c r="AB119" s="549"/>
      <c r="AC119" s="549"/>
      <c r="AD119" s="549"/>
      <c r="AE119" s="549"/>
      <c r="AF119" s="549"/>
    </row>
    <row r="120" spans="1:32" ht="15.75" customHeight="1">
      <c r="A120" s="549"/>
      <c r="B120" s="549"/>
      <c r="C120" s="549"/>
      <c r="D120" s="549"/>
      <c r="E120" s="549"/>
      <c r="F120" s="549"/>
      <c r="G120" s="549"/>
      <c r="H120" s="549"/>
      <c r="I120" s="549"/>
      <c r="J120" s="549"/>
      <c r="K120" s="549"/>
      <c r="L120" s="549"/>
      <c r="M120" s="549"/>
      <c r="N120" s="549"/>
      <c r="O120" s="549"/>
      <c r="P120" s="549"/>
      <c r="Q120" s="549"/>
      <c r="R120" s="549"/>
      <c r="S120" s="549"/>
      <c r="T120" s="549"/>
      <c r="U120" s="549"/>
      <c r="V120" s="549"/>
      <c r="W120" s="549"/>
      <c r="X120" s="549"/>
      <c r="Y120" s="549"/>
      <c r="Z120" s="549"/>
      <c r="AA120" s="549"/>
      <c r="AB120" s="549"/>
      <c r="AC120" s="549"/>
      <c r="AD120" s="549"/>
      <c r="AE120" s="549"/>
      <c r="AF120" s="549"/>
    </row>
    <row r="121" spans="1:32" ht="15.75" customHeight="1">
      <c r="A121" s="549"/>
      <c r="B121" s="549"/>
      <c r="C121" s="549"/>
      <c r="D121" s="549"/>
      <c r="E121" s="549"/>
      <c r="F121" s="549"/>
      <c r="G121" s="549"/>
      <c r="H121" s="549"/>
      <c r="I121" s="549"/>
      <c r="J121" s="549"/>
      <c r="K121" s="549"/>
      <c r="L121" s="549"/>
      <c r="M121" s="549"/>
      <c r="N121" s="549"/>
      <c r="O121" s="549"/>
      <c r="P121" s="549"/>
      <c r="Q121" s="549"/>
      <c r="R121" s="549"/>
      <c r="S121" s="549"/>
      <c r="T121" s="549"/>
      <c r="U121" s="549"/>
      <c r="V121" s="549"/>
      <c r="W121" s="549"/>
      <c r="X121" s="549"/>
      <c r="Y121" s="549"/>
      <c r="Z121" s="549"/>
      <c r="AA121" s="549"/>
      <c r="AB121" s="549"/>
      <c r="AC121" s="549"/>
      <c r="AD121" s="549"/>
      <c r="AE121" s="549"/>
      <c r="AF121" s="549"/>
    </row>
    <row r="122" spans="1:32" ht="15.75" customHeight="1">
      <c r="A122" s="549"/>
      <c r="B122" s="549"/>
      <c r="C122" s="549"/>
      <c r="D122" s="549"/>
      <c r="E122" s="549"/>
      <c r="F122" s="549"/>
      <c r="G122" s="549"/>
      <c r="H122" s="549"/>
      <c r="I122" s="549"/>
      <c r="J122" s="549"/>
      <c r="K122" s="549"/>
      <c r="L122" s="549"/>
      <c r="M122" s="549"/>
      <c r="N122" s="549"/>
      <c r="O122" s="549"/>
      <c r="P122" s="549"/>
      <c r="Q122" s="549"/>
      <c r="R122" s="549"/>
      <c r="S122" s="549"/>
      <c r="T122" s="549"/>
      <c r="U122" s="549"/>
      <c r="V122" s="549"/>
      <c r="W122" s="549"/>
      <c r="X122" s="549"/>
      <c r="Y122" s="549"/>
      <c r="Z122" s="549"/>
      <c r="AA122" s="549"/>
      <c r="AB122" s="549"/>
      <c r="AC122" s="549"/>
      <c r="AD122" s="549"/>
      <c r="AE122" s="549"/>
      <c r="AF122" s="549"/>
    </row>
    <row r="123" spans="1:32" ht="15.75" customHeight="1">
      <c r="A123" s="549"/>
      <c r="B123" s="549"/>
      <c r="C123" s="549"/>
      <c r="D123" s="549"/>
      <c r="E123" s="549"/>
      <c r="F123" s="549"/>
      <c r="G123" s="549"/>
      <c r="H123" s="549"/>
      <c r="I123" s="549"/>
      <c r="J123" s="549"/>
      <c r="K123" s="549"/>
      <c r="L123" s="549"/>
      <c r="M123" s="549"/>
      <c r="N123" s="549"/>
      <c r="O123" s="549"/>
      <c r="P123" s="549"/>
      <c r="Q123" s="549"/>
      <c r="R123" s="549"/>
      <c r="S123" s="549"/>
      <c r="T123" s="549"/>
      <c r="U123" s="549"/>
      <c r="V123" s="549"/>
      <c r="W123" s="549"/>
      <c r="X123" s="549"/>
      <c r="Y123" s="549"/>
      <c r="Z123" s="549"/>
      <c r="AA123" s="549"/>
      <c r="AB123" s="549"/>
      <c r="AC123" s="549"/>
      <c r="AD123" s="549"/>
      <c r="AE123" s="549"/>
      <c r="AF123" s="549"/>
    </row>
    <row r="124" spans="1:32" ht="15.75" customHeight="1">
      <c r="A124" s="549"/>
      <c r="B124" s="549"/>
      <c r="C124" s="549"/>
      <c r="D124" s="549"/>
      <c r="E124" s="549"/>
      <c r="F124" s="549"/>
      <c r="G124" s="549"/>
      <c r="H124" s="549"/>
      <c r="I124" s="549"/>
      <c r="J124" s="549"/>
      <c r="K124" s="549"/>
      <c r="L124" s="549"/>
      <c r="M124" s="549"/>
      <c r="N124" s="549"/>
      <c r="O124" s="549"/>
      <c r="P124" s="549"/>
      <c r="Q124" s="549"/>
      <c r="R124" s="549"/>
      <c r="S124" s="549"/>
      <c r="T124" s="549"/>
      <c r="U124" s="549"/>
      <c r="V124" s="549"/>
      <c r="W124" s="549"/>
      <c r="X124" s="549"/>
      <c r="Y124" s="549"/>
      <c r="Z124" s="549"/>
      <c r="AA124" s="549"/>
      <c r="AB124" s="549"/>
      <c r="AC124" s="549"/>
      <c r="AD124" s="549"/>
      <c r="AE124" s="549"/>
      <c r="AF124" s="549"/>
    </row>
    <row r="125" spans="1:32" ht="15.75" customHeight="1">
      <c r="A125" s="549"/>
      <c r="B125" s="549"/>
      <c r="C125" s="549"/>
      <c r="D125" s="549"/>
      <c r="E125" s="549"/>
      <c r="F125" s="549"/>
      <c r="G125" s="549"/>
      <c r="H125" s="549"/>
      <c r="I125" s="549"/>
      <c r="J125" s="549"/>
      <c r="K125" s="549"/>
      <c r="L125" s="549"/>
      <c r="M125" s="549"/>
      <c r="N125" s="549"/>
      <c r="O125" s="549"/>
      <c r="P125" s="549"/>
      <c r="Q125" s="549"/>
      <c r="R125" s="549"/>
      <c r="S125" s="549"/>
      <c r="T125" s="549"/>
      <c r="U125" s="549"/>
      <c r="V125" s="549"/>
      <c r="W125" s="549"/>
      <c r="X125" s="549"/>
      <c r="Y125" s="549"/>
      <c r="Z125" s="549"/>
      <c r="AA125" s="549"/>
      <c r="AB125" s="549"/>
      <c r="AC125" s="549"/>
      <c r="AD125" s="549"/>
      <c r="AE125" s="549"/>
      <c r="AF125" s="549"/>
    </row>
    <row r="126" spans="1:32" ht="15.75" customHeight="1">
      <c r="A126" s="549"/>
      <c r="B126" s="549"/>
      <c r="C126" s="549"/>
      <c r="D126" s="549"/>
      <c r="E126" s="549"/>
      <c r="F126" s="549"/>
      <c r="G126" s="549"/>
      <c r="H126" s="549"/>
      <c r="I126" s="549"/>
      <c r="J126" s="549"/>
      <c r="K126" s="549"/>
      <c r="L126" s="549"/>
      <c r="M126" s="549"/>
      <c r="N126" s="549"/>
      <c r="O126" s="549"/>
      <c r="P126" s="549"/>
      <c r="Q126" s="549"/>
      <c r="R126" s="549"/>
      <c r="S126" s="549"/>
      <c r="T126" s="549"/>
      <c r="U126" s="549"/>
      <c r="V126" s="549"/>
      <c r="W126" s="549"/>
      <c r="X126" s="549"/>
      <c r="Y126" s="549"/>
      <c r="Z126" s="549"/>
      <c r="AA126" s="549"/>
      <c r="AB126" s="549"/>
      <c r="AC126" s="549"/>
      <c r="AD126" s="549"/>
      <c r="AE126" s="549"/>
      <c r="AF126" s="549"/>
    </row>
    <row r="127" spans="1:32" ht="15.75" customHeight="1">
      <c r="A127" s="549"/>
      <c r="B127" s="549"/>
      <c r="C127" s="549"/>
      <c r="D127" s="549"/>
      <c r="E127" s="549"/>
      <c r="F127" s="549"/>
      <c r="G127" s="549"/>
      <c r="H127" s="549"/>
      <c r="I127" s="549"/>
      <c r="J127" s="549"/>
      <c r="K127" s="549"/>
      <c r="L127" s="549"/>
      <c r="M127" s="549"/>
      <c r="N127" s="549"/>
      <c r="O127" s="549"/>
      <c r="P127" s="549"/>
      <c r="Q127" s="549"/>
      <c r="R127" s="549"/>
      <c r="S127" s="549"/>
      <c r="T127" s="549"/>
      <c r="U127" s="549"/>
      <c r="V127" s="549"/>
      <c r="W127" s="549"/>
      <c r="X127" s="549"/>
      <c r="Y127" s="549"/>
      <c r="Z127" s="549"/>
      <c r="AA127" s="549"/>
      <c r="AB127" s="549"/>
      <c r="AC127" s="549"/>
      <c r="AD127" s="549"/>
      <c r="AE127" s="549"/>
      <c r="AF127" s="549"/>
    </row>
    <row r="128" spans="1:32" ht="15.75" customHeight="1">
      <c r="A128" s="549"/>
      <c r="B128" s="549"/>
      <c r="C128" s="549"/>
      <c r="D128" s="549"/>
      <c r="E128" s="549"/>
      <c r="F128" s="549"/>
      <c r="G128" s="549"/>
      <c r="H128" s="549"/>
      <c r="I128" s="549"/>
      <c r="J128" s="549"/>
      <c r="K128" s="549"/>
      <c r="L128" s="549"/>
      <c r="M128" s="549"/>
      <c r="N128" s="549"/>
      <c r="O128" s="549"/>
      <c r="P128" s="549"/>
      <c r="Q128" s="549"/>
      <c r="R128" s="549"/>
      <c r="S128" s="549"/>
      <c r="T128" s="549"/>
      <c r="U128" s="549"/>
      <c r="V128" s="549"/>
      <c r="W128" s="549"/>
      <c r="X128" s="549"/>
      <c r="Y128" s="549"/>
      <c r="Z128" s="549"/>
      <c r="AA128" s="549"/>
      <c r="AB128" s="549"/>
      <c r="AC128" s="549"/>
      <c r="AD128" s="549"/>
      <c r="AE128" s="549"/>
      <c r="AF128" s="549"/>
    </row>
    <row r="129" spans="1:32" ht="15.75" customHeight="1">
      <c r="A129" s="549"/>
      <c r="B129" s="549"/>
      <c r="C129" s="549"/>
      <c r="D129" s="549"/>
      <c r="E129" s="549"/>
      <c r="F129" s="549"/>
      <c r="G129" s="549"/>
      <c r="H129" s="549"/>
      <c r="I129" s="549"/>
      <c r="J129" s="549"/>
      <c r="K129" s="549"/>
      <c r="L129" s="549"/>
      <c r="M129" s="549"/>
      <c r="N129" s="549"/>
      <c r="O129" s="549"/>
      <c r="P129" s="549"/>
      <c r="Q129" s="549"/>
      <c r="R129" s="549"/>
      <c r="S129" s="549"/>
      <c r="T129" s="549"/>
      <c r="U129" s="549"/>
      <c r="V129" s="549"/>
      <c r="W129" s="549"/>
      <c r="X129" s="549"/>
      <c r="Y129" s="549"/>
      <c r="Z129" s="549"/>
      <c r="AA129" s="549"/>
      <c r="AB129" s="549"/>
      <c r="AC129" s="549"/>
      <c r="AD129" s="549"/>
      <c r="AE129" s="549"/>
      <c r="AF129" s="549"/>
    </row>
    <row r="130" spans="1:32" ht="15.75" customHeight="1">
      <c r="A130" s="549"/>
      <c r="B130" s="549"/>
      <c r="C130" s="549"/>
      <c r="D130" s="549"/>
      <c r="E130" s="549"/>
      <c r="F130" s="549"/>
      <c r="G130" s="549"/>
      <c r="H130" s="549"/>
      <c r="I130" s="549"/>
      <c r="J130" s="549"/>
      <c r="K130" s="549"/>
      <c r="L130" s="549"/>
      <c r="M130" s="549"/>
      <c r="N130" s="549"/>
      <c r="O130" s="549"/>
      <c r="P130" s="549"/>
      <c r="Q130" s="549"/>
      <c r="R130" s="549"/>
      <c r="S130" s="549"/>
      <c r="T130" s="549"/>
      <c r="U130" s="549"/>
      <c r="V130" s="549"/>
      <c r="W130" s="549"/>
      <c r="X130" s="549"/>
      <c r="Y130" s="549"/>
      <c r="Z130" s="549"/>
      <c r="AA130" s="549"/>
      <c r="AB130" s="549"/>
      <c r="AC130" s="549"/>
      <c r="AD130" s="549"/>
      <c r="AE130" s="549"/>
      <c r="AF130" s="549"/>
    </row>
    <row r="131" spans="1:32" ht="15.75" customHeight="1">
      <c r="A131" s="549"/>
      <c r="B131" s="549"/>
      <c r="C131" s="549"/>
      <c r="D131" s="549"/>
      <c r="E131" s="549"/>
      <c r="F131" s="549"/>
      <c r="G131" s="549"/>
      <c r="H131" s="549"/>
      <c r="I131" s="549"/>
      <c r="J131" s="549"/>
      <c r="K131" s="549"/>
      <c r="L131" s="549"/>
      <c r="M131" s="549"/>
      <c r="N131" s="549"/>
      <c r="O131" s="549"/>
      <c r="P131" s="549"/>
      <c r="Q131" s="549"/>
      <c r="R131" s="549"/>
      <c r="S131" s="549"/>
      <c r="T131" s="549"/>
      <c r="U131" s="549"/>
      <c r="V131" s="549"/>
      <c r="W131" s="549"/>
      <c r="X131" s="549"/>
      <c r="Y131" s="549"/>
      <c r="Z131" s="549"/>
      <c r="AA131" s="549"/>
      <c r="AB131" s="549"/>
      <c r="AC131" s="549"/>
      <c r="AD131" s="549"/>
      <c r="AE131" s="549"/>
      <c r="AF131" s="549"/>
    </row>
    <row r="132" spans="1:32" ht="15.75" customHeight="1">
      <c r="A132" s="549"/>
      <c r="B132" s="549"/>
      <c r="C132" s="549"/>
      <c r="D132" s="549"/>
      <c r="E132" s="549"/>
      <c r="F132" s="549"/>
      <c r="G132" s="549"/>
      <c r="H132" s="549"/>
      <c r="I132" s="549"/>
      <c r="J132" s="549"/>
      <c r="K132" s="549"/>
      <c r="L132" s="549"/>
      <c r="M132" s="549"/>
      <c r="N132" s="549"/>
      <c r="O132" s="549"/>
      <c r="P132" s="549"/>
      <c r="Q132" s="549"/>
      <c r="R132" s="549"/>
      <c r="S132" s="549"/>
      <c r="T132" s="549"/>
      <c r="U132" s="549"/>
      <c r="V132" s="549"/>
      <c r="W132" s="549"/>
      <c r="X132" s="549"/>
      <c r="Y132" s="549"/>
      <c r="Z132" s="549"/>
      <c r="AA132" s="549"/>
      <c r="AB132" s="549"/>
      <c r="AC132" s="549"/>
      <c r="AD132" s="549"/>
      <c r="AE132" s="549"/>
      <c r="AF132" s="549"/>
    </row>
    <row r="133" spans="1:32" ht="15.75" customHeight="1">
      <c r="A133" s="549"/>
      <c r="B133" s="549"/>
      <c r="C133" s="549"/>
      <c r="D133" s="549"/>
      <c r="E133" s="549"/>
      <c r="F133" s="549"/>
      <c r="G133" s="549"/>
      <c r="H133" s="549"/>
      <c r="I133" s="549"/>
      <c r="J133" s="549"/>
      <c r="K133" s="549"/>
      <c r="L133" s="549"/>
      <c r="M133" s="549"/>
      <c r="N133" s="549"/>
      <c r="O133" s="549"/>
      <c r="P133" s="549"/>
      <c r="Q133" s="549"/>
      <c r="R133" s="549"/>
      <c r="S133" s="549"/>
      <c r="T133" s="549"/>
      <c r="U133" s="549"/>
      <c r="V133" s="549"/>
      <c r="W133" s="549"/>
      <c r="X133" s="549"/>
      <c r="Y133" s="549"/>
      <c r="Z133" s="549"/>
      <c r="AA133" s="549"/>
      <c r="AB133" s="549"/>
      <c r="AC133" s="549"/>
      <c r="AD133" s="549"/>
      <c r="AE133" s="549"/>
      <c r="AF133" s="549"/>
    </row>
    <row r="134" spans="1:32" ht="15.75" customHeight="1">
      <c r="A134" s="549"/>
      <c r="B134" s="549"/>
      <c r="C134" s="549"/>
      <c r="D134" s="549"/>
      <c r="E134" s="549"/>
      <c r="F134" s="549"/>
      <c r="G134" s="549"/>
      <c r="H134" s="549"/>
      <c r="I134" s="549"/>
      <c r="J134" s="549"/>
      <c r="K134" s="549"/>
      <c r="L134" s="549"/>
      <c r="M134" s="549"/>
      <c r="N134" s="549"/>
      <c r="O134" s="549"/>
      <c r="P134" s="549"/>
      <c r="Q134" s="549"/>
      <c r="R134" s="549"/>
      <c r="S134" s="549"/>
      <c r="T134" s="549"/>
      <c r="U134" s="549"/>
      <c r="V134" s="549"/>
      <c r="W134" s="549"/>
      <c r="X134" s="549"/>
      <c r="Y134" s="549"/>
      <c r="Z134" s="549"/>
      <c r="AA134" s="549"/>
      <c r="AB134" s="549"/>
      <c r="AC134" s="549"/>
      <c r="AD134" s="549"/>
      <c r="AE134" s="549"/>
      <c r="AF134" s="549"/>
    </row>
    <row r="135" spans="1:32" ht="15.75" customHeight="1">
      <c r="A135" s="549"/>
      <c r="B135" s="549"/>
      <c r="C135" s="549"/>
      <c r="D135" s="549"/>
      <c r="E135" s="549"/>
      <c r="F135" s="549"/>
      <c r="G135" s="549"/>
      <c r="H135" s="549"/>
      <c r="I135" s="549"/>
      <c r="J135" s="549"/>
      <c r="K135" s="549"/>
      <c r="L135" s="549"/>
      <c r="M135" s="549"/>
      <c r="N135" s="549"/>
      <c r="O135" s="549"/>
      <c r="P135" s="549"/>
      <c r="Q135" s="549"/>
      <c r="R135" s="549"/>
      <c r="S135" s="549"/>
      <c r="T135" s="549"/>
      <c r="U135" s="549"/>
      <c r="V135" s="549"/>
      <c r="W135" s="549"/>
      <c r="X135" s="549"/>
      <c r="Y135" s="549"/>
      <c r="Z135" s="549"/>
      <c r="AA135" s="549"/>
      <c r="AB135" s="549"/>
      <c r="AC135" s="549"/>
      <c r="AD135" s="549"/>
      <c r="AE135" s="549"/>
      <c r="AF135" s="549"/>
    </row>
    <row r="136" spans="1:32" ht="15.75" customHeight="1">
      <c r="A136" s="549"/>
      <c r="B136" s="549"/>
      <c r="C136" s="549"/>
      <c r="D136" s="549"/>
      <c r="E136" s="549"/>
      <c r="F136" s="549"/>
      <c r="G136" s="549"/>
      <c r="H136" s="549"/>
      <c r="I136" s="549"/>
      <c r="J136" s="549"/>
      <c r="K136" s="549"/>
      <c r="L136" s="549"/>
      <c r="M136" s="549"/>
      <c r="N136" s="549"/>
      <c r="O136" s="549"/>
      <c r="P136" s="549"/>
      <c r="Q136" s="549"/>
      <c r="R136" s="549"/>
      <c r="S136" s="549"/>
      <c r="T136" s="549"/>
      <c r="U136" s="549"/>
      <c r="V136" s="549"/>
      <c r="W136" s="549"/>
      <c r="X136" s="549"/>
      <c r="Y136" s="549"/>
      <c r="Z136" s="549"/>
      <c r="AA136" s="549"/>
      <c r="AB136" s="549"/>
      <c r="AC136" s="549"/>
      <c r="AD136" s="549"/>
      <c r="AE136" s="549"/>
      <c r="AF136" s="549"/>
    </row>
    <row r="137" spans="1:32" ht="15.75" customHeight="1">
      <c r="A137" s="549"/>
      <c r="B137" s="549"/>
      <c r="C137" s="549"/>
      <c r="D137" s="549"/>
      <c r="E137" s="549"/>
      <c r="F137" s="549"/>
      <c r="G137" s="549"/>
      <c r="H137" s="549"/>
      <c r="I137" s="549"/>
      <c r="J137" s="549"/>
      <c r="K137" s="549"/>
      <c r="L137" s="549"/>
      <c r="M137" s="549"/>
      <c r="N137" s="549"/>
      <c r="O137" s="549"/>
      <c r="P137" s="549"/>
      <c r="Q137" s="549"/>
      <c r="R137" s="549"/>
      <c r="S137" s="549"/>
      <c r="T137" s="549"/>
      <c r="U137" s="549"/>
      <c r="V137" s="549"/>
      <c r="W137" s="549"/>
      <c r="X137" s="549"/>
      <c r="Y137" s="549"/>
      <c r="Z137" s="549"/>
      <c r="AA137" s="549"/>
      <c r="AB137" s="549"/>
      <c r="AC137" s="549"/>
      <c r="AD137" s="549"/>
      <c r="AE137" s="549"/>
      <c r="AF137" s="549"/>
    </row>
    <row r="138" spans="1:32" ht="15.75" customHeight="1">
      <c r="A138" s="549"/>
      <c r="B138" s="549"/>
      <c r="C138" s="549"/>
      <c r="D138" s="549"/>
      <c r="E138" s="549"/>
      <c r="F138" s="549"/>
      <c r="G138" s="549"/>
      <c r="H138" s="549"/>
      <c r="I138" s="549"/>
      <c r="J138" s="549"/>
      <c r="K138" s="549"/>
      <c r="L138" s="549"/>
      <c r="M138" s="549"/>
      <c r="N138" s="549"/>
      <c r="O138" s="549"/>
      <c r="P138" s="549"/>
      <c r="Q138" s="549"/>
      <c r="R138" s="549"/>
      <c r="S138" s="549"/>
      <c r="T138" s="549"/>
      <c r="U138" s="549"/>
      <c r="V138" s="549"/>
      <c r="W138" s="549"/>
      <c r="X138" s="549"/>
      <c r="Y138" s="549"/>
      <c r="Z138" s="549"/>
      <c r="AA138" s="549"/>
      <c r="AB138" s="549"/>
      <c r="AC138" s="549"/>
      <c r="AD138" s="549"/>
      <c r="AE138" s="549"/>
      <c r="AF138" s="549"/>
    </row>
    <row r="139" spans="1:32" ht="15.75" customHeight="1">
      <c r="A139" s="549"/>
      <c r="B139" s="549"/>
      <c r="C139" s="549"/>
      <c r="D139" s="549"/>
      <c r="E139" s="549"/>
      <c r="F139" s="549"/>
      <c r="G139" s="549"/>
      <c r="H139" s="549"/>
      <c r="I139" s="549"/>
      <c r="J139" s="549"/>
      <c r="K139" s="549"/>
      <c r="L139" s="549"/>
      <c r="M139" s="549"/>
      <c r="N139" s="549"/>
      <c r="O139" s="549"/>
      <c r="P139" s="549"/>
      <c r="Q139" s="549"/>
      <c r="R139" s="549"/>
      <c r="S139" s="549"/>
      <c r="T139" s="549"/>
      <c r="U139" s="549"/>
      <c r="V139" s="549"/>
      <c r="W139" s="549"/>
      <c r="X139" s="549"/>
      <c r="Y139" s="549"/>
      <c r="Z139" s="549"/>
      <c r="AA139" s="549"/>
      <c r="AB139" s="549"/>
      <c r="AC139" s="549"/>
      <c r="AD139" s="549"/>
      <c r="AE139" s="549"/>
      <c r="AF139" s="549"/>
    </row>
    <row r="140" spans="1:32" ht="15.75" customHeight="1">
      <c r="A140" s="549"/>
      <c r="B140" s="549"/>
      <c r="C140" s="549"/>
      <c r="D140" s="549"/>
      <c r="E140" s="549"/>
      <c r="F140" s="549"/>
      <c r="G140" s="549"/>
      <c r="H140" s="549"/>
      <c r="I140" s="549"/>
      <c r="J140" s="549"/>
      <c r="K140" s="549"/>
      <c r="L140" s="549"/>
      <c r="M140" s="549"/>
      <c r="N140" s="549"/>
      <c r="O140" s="549"/>
      <c r="P140" s="549"/>
      <c r="Q140" s="549"/>
      <c r="R140" s="549"/>
      <c r="S140" s="549"/>
      <c r="T140" s="549"/>
      <c r="U140" s="549"/>
      <c r="V140" s="549"/>
      <c r="W140" s="549"/>
      <c r="X140" s="549"/>
      <c r="Y140" s="549"/>
      <c r="Z140" s="549"/>
      <c r="AA140" s="549"/>
      <c r="AB140" s="549"/>
      <c r="AC140" s="549"/>
      <c r="AD140" s="549"/>
      <c r="AE140" s="549"/>
      <c r="AF140" s="549"/>
    </row>
    <row r="141" spans="1:32" ht="15.75" customHeight="1">
      <c r="A141" s="549"/>
      <c r="B141" s="549"/>
      <c r="C141" s="549"/>
      <c r="D141" s="549"/>
      <c r="E141" s="549"/>
      <c r="F141" s="549"/>
      <c r="G141" s="549"/>
      <c r="H141" s="549"/>
      <c r="I141" s="549"/>
      <c r="J141" s="549"/>
      <c r="K141" s="549"/>
      <c r="L141" s="549"/>
      <c r="M141" s="549"/>
      <c r="N141" s="549"/>
      <c r="O141" s="549"/>
      <c r="P141" s="549"/>
      <c r="Q141" s="549"/>
      <c r="R141" s="549"/>
      <c r="S141" s="549"/>
      <c r="T141" s="549"/>
      <c r="U141" s="549"/>
      <c r="V141" s="549"/>
      <c r="W141" s="549"/>
      <c r="X141" s="549"/>
      <c r="Y141" s="549"/>
      <c r="Z141" s="549"/>
      <c r="AA141" s="549"/>
      <c r="AB141" s="549"/>
      <c r="AC141" s="549"/>
      <c r="AD141" s="549"/>
      <c r="AE141" s="549"/>
      <c r="AF141" s="549"/>
    </row>
    <row r="142" spans="1:32" ht="15.75" customHeight="1">
      <c r="A142" s="549"/>
      <c r="B142" s="549"/>
      <c r="C142" s="549"/>
      <c r="D142" s="549"/>
      <c r="E142" s="549"/>
      <c r="F142" s="549"/>
      <c r="G142" s="549"/>
      <c r="H142" s="549"/>
      <c r="I142" s="549"/>
      <c r="J142" s="549"/>
      <c r="K142" s="549"/>
      <c r="L142" s="549"/>
      <c r="M142" s="549"/>
      <c r="N142" s="549"/>
      <c r="O142" s="549"/>
      <c r="P142" s="549"/>
      <c r="Q142" s="549"/>
      <c r="R142" s="549"/>
      <c r="S142" s="549"/>
      <c r="T142" s="549"/>
      <c r="U142" s="549"/>
      <c r="V142" s="549"/>
      <c r="W142" s="549"/>
      <c r="X142" s="549"/>
      <c r="Y142" s="549"/>
      <c r="Z142" s="549"/>
      <c r="AA142" s="549"/>
      <c r="AB142" s="549"/>
      <c r="AC142" s="549"/>
      <c r="AD142" s="549"/>
      <c r="AE142" s="549"/>
      <c r="AF142" s="549"/>
    </row>
    <row r="143" spans="1:32" ht="15.75" customHeight="1">
      <c r="A143" s="549"/>
      <c r="B143" s="549"/>
      <c r="C143" s="549"/>
      <c r="D143" s="549"/>
      <c r="E143" s="549"/>
      <c r="F143" s="549"/>
      <c r="G143" s="549"/>
      <c r="H143" s="549"/>
      <c r="I143" s="549"/>
      <c r="J143" s="549"/>
      <c r="K143" s="549"/>
      <c r="L143" s="549"/>
      <c r="M143" s="549"/>
      <c r="N143" s="549"/>
      <c r="O143" s="549"/>
      <c r="P143" s="549"/>
      <c r="Q143" s="549"/>
      <c r="R143" s="549"/>
      <c r="S143" s="549"/>
      <c r="T143" s="549"/>
      <c r="U143" s="549"/>
      <c r="V143" s="549"/>
      <c r="W143" s="549"/>
      <c r="X143" s="549"/>
      <c r="Y143" s="549"/>
      <c r="Z143" s="549"/>
      <c r="AA143" s="549"/>
      <c r="AB143" s="549"/>
      <c r="AC143" s="549"/>
      <c r="AD143" s="549"/>
      <c r="AE143" s="549"/>
      <c r="AF143" s="549"/>
    </row>
    <row r="144" spans="1:32" ht="15.75" customHeight="1">
      <c r="A144" s="549"/>
      <c r="B144" s="549"/>
      <c r="C144" s="549"/>
      <c r="D144" s="549"/>
      <c r="E144" s="549"/>
      <c r="F144" s="549"/>
      <c r="G144" s="549"/>
      <c r="H144" s="549"/>
      <c r="I144" s="549"/>
      <c r="J144" s="549"/>
      <c r="K144" s="549"/>
      <c r="L144" s="549"/>
      <c r="M144" s="549"/>
      <c r="N144" s="549"/>
      <c r="O144" s="549"/>
      <c r="P144" s="549"/>
      <c r="Q144" s="549"/>
      <c r="R144" s="549"/>
      <c r="S144" s="549"/>
      <c r="T144" s="549"/>
      <c r="U144" s="549"/>
      <c r="V144" s="549"/>
      <c r="W144" s="549"/>
      <c r="X144" s="549"/>
      <c r="Y144" s="549"/>
      <c r="Z144" s="549"/>
      <c r="AA144" s="549"/>
      <c r="AB144" s="549"/>
      <c r="AC144" s="549"/>
      <c r="AD144" s="549"/>
      <c r="AE144" s="549"/>
      <c r="AF144" s="549"/>
    </row>
    <row r="145" spans="1:32" ht="15.75" customHeight="1">
      <c r="A145" s="549"/>
      <c r="B145" s="549"/>
      <c r="C145" s="549"/>
      <c r="D145" s="549"/>
      <c r="E145" s="549"/>
      <c r="F145" s="549"/>
      <c r="G145" s="549"/>
      <c r="H145" s="549"/>
      <c r="I145" s="549"/>
      <c r="J145" s="549"/>
      <c r="K145" s="549"/>
      <c r="L145" s="549"/>
      <c r="M145" s="549"/>
      <c r="N145" s="549"/>
      <c r="O145" s="549"/>
      <c r="P145" s="549"/>
      <c r="Q145" s="549"/>
      <c r="R145" s="549"/>
      <c r="S145" s="549"/>
      <c r="T145" s="549"/>
      <c r="U145" s="549"/>
      <c r="V145" s="549"/>
      <c r="W145" s="549"/>
      <c r="X145" s="549"/>
      <c r="Y145" s="549"/>
      <c r="Z145" s="549"/>
      <c r="AA145" s="549"/>
      <c r="AB145" s="549"/>
      <c r="AC145" s="549"/>
      <c r="AD145" s="549"/>
      <c r="AE145" s="549"/>
      <c r="AF145" s="549"/>
    </row>
    <row r="146" spans="1:32" ht="15.75" customHeight="1">
      <c r="A146" s="549"/>
      <c r="B146" s="549"/>
      <c r="C146" s="549"/>
      <c r="D146" s="549"/>
      <c r="E146" s="549"/>
      <c r="F146" s="549"/>
      <c r="G146" s="549"/>
      <c r="H146" s="549"/>
      <c r="I146" s="549"/>
      <c r="J146" s="549"/>
      <c r="K146" s="549"/>
      <c r="L146" s="549"/>
      <c r="M146" s="549"/>
      <c r="N146" s="549"/>
      <c r="O146" s="549"/>
      <c r="P146" s="549"/>
      <c r="Q146" s="549"/>
      <c r="R146" s="549"/>
      <c r="S146" s="549"/>
      <c r="T146" s="549"/>
      <c r="U146" s="549"/>
      <c r="V146" s="549"/>
      <c r="W146" s="549"/>
      <c r="X146" s="549"/>
      <c r="Y146" s="549"/>
      <c r="Z146" s="549"/>
      <c r="AA146" s="549"/>
      <c r="AB146" s="549"/>
      <c r="AC146" s="549"/>
      <c r="AD146" s="549"/>
      <c r="AE146" s="549"/>
      <c r="AF146" s="549"/>
    </row>
    <row r="147" spans="1:32" ht="15.75" customHeight="1">
      <c r="A147" s="549"/>
      <c r="B147" s="549"/>
      <c r="C147" s="549"/>
      <c r="D147" s="549"/>
      <c r="E147" s="549"/>
      <c r="F147" s="549"/>
      <c r="G147" s="549"/>
      <c r="H147" s="549"/>
      <c r="I147" s="549"/>
      <c r="J147" s="549"/>
      <c r="K147" s="549"/>
      <c r="L147" s="549"/>
      <c r="M147" s="549"/>
      <c r="N147" s="549"/>
      <c r="O147" s="549"/>
      <c r="P147" s="549"/>
      <c r="Q147" s="549"/>
      <c r="R147" s="549"/>
      <c r="S147" s="549"/>
      <c r="T147" s="549"/>
      <c r="U147" s="549"/>
      <c r="V147" s="549"/>
      <c r="W147" s="549"/>
      <c r="X147" s="549"/>
      <c r="Y147" s="549"/>
      <c r="Z147" s="549"/>
      <c r="AA147" s="549"/>
      <c r="AB147" s="549"/>
      <c r="AC147" s="549"/>
      <c r="AD147" s="549"/>
      <c r="AE147" s="549"/>
      <c r="AF147" s="549"/>
    </row>
    <row r="148" spans="1:32" ht="15.75" customHeight="1">
      <c r="A148" s="549"/>
      <c r="B148" s="549"/>
      <c r="C148" s="549"/>
      <c r="D148" s="549"/>
      <c r="E148" s="549"/>
      <c r="F148" s="549"/>
      <c r="G148" s="549"/>
      <c r="H148" s="549"/>
      <c r="I148" s="549"/>
      <c r="J148" s="549"/>
      <c r="K148" s="549"/>
      <c r="L148" s="549"/>
      <c r="M148" s="549"/>
      <c r="N148" s="549"/>
      <c r="O148" s="549"/>
      <c r="P148" s="549"/>
      <c r="Q148" s="549"/>
      <c r="R148" s="549"/>
      <c r="S148" s="549"/>
      <c r="T148" s="549"/>
      <c r="U148" s="549"/>
      <c r="V148" s="549"/>
      <c r="W148" s="549"/>
      <c r="X148" s="549"/>
      <c r="Y148" s="549"/>
      <c r="Z148" s="549"/>
      <c r="AA148" s="549"/>
      <c r="AB148" s="549"/>
      <c r="AC148" s="549"/>
      <c r="AD148" s="549"/>
      <c r="AE148" s="549"/>
      <c r="AF148" s="549"/>
    </row>
    <row r="149" spans="1:32" ht="15.75" customHeight="1">
      <c r="A149" s="549"/>
      <c r="B149" s="549"/>
      <c r="C149" s="549"/>
      <c r="D149" s="549"/>
      <c r="E149" s="549"/>
      <c r="F149" s="549"/>
      <c r="G149" s="549"/>
      <c r="H149" s="549"/>
      <c r="I149" s="549"/>
      <c r="J149" s="549"/>
      <c r="K149" s="549"/>
      <c r="L149" s="549"/>
      <c r="M149" s="549"/>
      <c r="N149" s="549"/>
      <c r="O149" s="549"/>
      <c r="P149" s="549"/>
      <c r="Q149" s="549"/>
      <c r="R149" s="549"/>
      <c r="S149" s="549"/>
      <c r="T149" s="549"/>
      <c r="U149" s="549"/>
      <c r="V149" s="549"/>
      <c r="W149" s="549"/>
      <c r="X149" s="549"/>
      <c r="Y149" s="549"/>
      <c r="Z149" s="549"/>
      <c r="AA149" s="549"/>
      <c r="AB149" s="549"/>
      <c r="AC149" s="549"/>
      <c r="AD149" s="549"/>
      <c r="AE149" s="549"/>
      <c r="AF149" s="549"/>
    </row>
    <row r="150" spans="1:32" ht="15.75" customHeight="1">
      <c r="A150" s="549"/>
      <c r="B150" s="549"/>
      <c r="C150" s="549"/>
      <c r="D150" s="549"/>
      <c r="E150" s="549"/>
      <c r="F150" s="549"/>
      <c r="G150" s="549"/>
      <c r="H150" s="549"/>
      <c r="I150" s="549"/>
      <c r="J150" s="549"/>
      <c r="K150" s="549"/>
      <c r="L150" s="549"/>
      <c r="M150" s="549"/>
      <c r="N150" s="549"/>
      <c r="O150" s="549"/>
      <c r="P150" s="549"/>
      <c r="Q150" s="549"/>
      <c r="R150" s="549"/>
      <c r="S150" s="549"/>
      <c r="T150" s="549"/>
      <c r="U150" s="549"/>
      <c r="V150" s="549"/>
      <c r="W150" s="549"/>
      <c r="X150" s="549"/>
      <c r="Y150" s="549"/>
      <c r="Z150" s="549"/>
      <c r="AA150" s="549"/>
      <c r="AB150" s="549"/>
      <c r="AC150" s="549"/>
      <c r="AD150" s="549"/>
      <c r="AE150" s="549"/>
      <c r="AF150" s="549"/>
    </row>
    <row r="151" spans="1:32" ht="15.75" customHeight="1">
      <c r="A151" s="549"/>
      <c r="B151" s="549"/>
      <c r="C151" s="549"/>
      <c r="D151" s="549"/>
      <c r="E151" s="549"/>
      <c r="F151" s="549"/>
      <c r="G151" s="549"/>
      <c r="H151" s="549"/>
      <c r="I151" s="549"/>
      <c r="J151" s="549"/>
      <c r="K151" s="549"/>
      <c r="L151" s="549"/>
      <c r="M151" s="549"/>
      <c r="N151" s="549"/>
      <c r="O151" s="549"/>
      <c r="P151" s="549"/>
      <c r="Q151" s="549"/>
      <c r="R151" s="549"/>
      <c r="S151" s="549"/>
      <c r="T151" s="549"/>
      <c r="U151" s="549"/>
      <c r="V151" s="549"/>
      <c r="W151" s="549"/>
      <c r="X151" s="549"/>
      <c r="Y151" s="549"/>
      <c r="Z151" s="549"/>
      <c r="AA151" s="549"/>
      <c r="AB151" s="549"/>
      <c r="AC151" s="549"/>
      <c r="AD151" s="549"/>
      <c r="AE151" s="549"/>
      <c r="AF151" s="549"/>
    </row>
    <row r="152" spans="1:32" ht="15.75" customHeight="1">
      <c r="A152" s="549"/>
      <c r="B152" s="549"/>
      <c r="C152" s="549"/>
      <c r="D152" s="549"/>
      <c r="E152" s="549"/>
      <c r="F152" s="549"/>
      <c r="G152" s="549"/>
      <c r="H152" s="549"/>
      <c r="I152" s="549"/>
      <c r="J152" s="549"/>
      <c r="K152" s="549"/>
      <c r="L152" s="549"/>
      <c r="M152" s="549"/>
      <c r="N152" s="549"/>
      <c r="O152" s="549"/>
      <c r="P152" s="549"/>
      <c r="Q152" s="549"/>
      <c r="R152" s="549"/>
      <c r="S152" s="549"/>
      <c r="T152" s="549"/>
      <c r="U152" s="549"/>
      <c r="V152" s="549"/>
      <c r="W152" s="549"/>
      <c r="X152" s="549"/>
      <c r="Y152" s="549"/>
      <c r="Z152" s="549"/>
      <c r="AA152" s="549"/>
      <c r="AB152" s="549"/>
      <c r="AC152" s="549"/>
      <c r="AD152" s="549"/>
      <c r="AE152" s="549"/>
      <c r="AF152" s="549"/>
    </row>
    <row r="153" spans="1:32" ht="15.75" customHeight="1">
      <c r="A153" s="549"/>
      <c r="B153" s="549"/>
      <c r="C153" s="549"/>
      <c r="D153" s="549"/>
      <c r="E153" s="549"/>
      <c r="F153" s="549"/>
      <c r="G153" s="549"/>
      <c r="H153" s="549"/>
      <c r="I153" s="549"/>
      <c r="J153" s="549"/>
      <c r="K153" s="549"/>
      <c r="L153" s="549"/>
      <c r="M153" s="549"/>
      <c r="N153" s="549"/>
      <c r="O153" s="549"/>
      <c r="P153" s="549"/>
      <c r="Q153" s="549"/>
      <c r="R153" s="549"/>
      <c r="S153" s="549"/>
      <c r="T153" s="549"/>
      <c r="U153" s="549"/>
      <c r="V153" s="549"/>
      <c r="W153" s="549"/>
      <c r="X153" s="549"/>
      <c r="Y153" s="549"/>
      <c r="Z153" s="549"/>
      <c r="AA153" s="549"/>
      <c r="AB153" s="549"/>
      <c r="AC153" s="549"/>
      <c r="AD153" s="549"/>
      <c r="AE153" s="549"/>
      <c r="AF153" s="549"/>
    </row>
    <row r="154" spans="1:32" ht="15.75" customHeight="1">
      <c r="A154" s="549"/>
      <c r="B154" s="549"/>
      <c r="C154" s="549"/>
      <c r="D154" s="549"/>
      <c r="E154" s="549"/>
      <c r="F154" s="549"/>
      <c r="G154" s="549"/>
      <c r="H154" s="549"/>
      <c r="I154" s="549"/>
      <c r="J154" s="549"/>
      <c r="K154" s="549"/>
      <c r="L154" s="549"/>
      <c r="M154" s="549"/>
      <c r="N154" s="549"/>
      <c r="O154" s="549"/>
      <c r="P154" s="549"/>
      <c r="Q154" s="549"/>
      <c r="R154" s="549"/>
      <c r="S154" s="549"/>
      <c r="T154" s="549"/>
      <c r="U154" s="549"/>
      <c r="V154" s="549"/>
      <c r="W154" s="549"/>
      <c r="X154" s="549"/>
      <c r="Y154" s="549"/>
      <c r="Z154" s="549"/>
      <c r="AA154" s="549"/>
      <c r="AB154" s="549"/>
      <c r="AC154" s="549"/>
      <c r="AD154" s="549"/>
      <c r="AE154" s="549"/>
      <c r="AF154" s="549"/>
    </row>
    <row r="155" spans="1:32" ht="15.75" customHeight="1">
      <c r="A155" s="549"/>
      <c r="B155" s="549"/>
      <c r="C155" s="549"/>
      <c r="D155" s="549"/>
      <c r="E155" s="549"/>
      <c r="F155" s="549"/>
      <c r="G155" s="549"/>
      <c r="H155" s="549"/>
      <c r="I155" s="549"/>
      <c r="J155" s="549"/>
      <c r="K155" s="549"/>
      <c r="L155" s="549"/>
      <c r="M155" s="549"/>
      <c r="N155" s="549"/>
      <c r="O155" s="549"/>
      <c r="P155" s="549"/>
      <c r="Q155" s="549"/>
      <c r="R155" s="549"/>
      <c r="S155" s="549"/>
      <c r="T155" s="549"/>
      <c r="U155" s="549"/>
      <c r="V155" s="549"/>
      <c r="W155" s="549"/>
      <c r="X155" s="549"/>
      <c r="Y155" s="549"/>
      <c r="Z155" s="549"/>
      <c r="AA155" s="549"/>
      <c r="AB155" s="549"/>
      <c r="AC155" s="549"/>
      <c r="AD155" s="549"/>
      <c r="AE155" s="549"/>
      <c r="AF155" s="549"/>
    </row>
    <row r="156" spans="1:32" ht="15.75" customHeight="1">
      <c r="A156" s="549"/>
      <c r="B156" s="549"/>
      <c r="C156" s="549"/>
      <c r="D156" s="549"/>
      <c r="E156" s="549"/>
      <c r="F156" s="549"/>
      <c r="G156" s="549"/>
      <c r="H156" s="549"/>
      <c r="I156" s="549"/>
      <c r="J156" s="549"/>
      <c r="K156" s="549"/>
      <c r="L156" s="549"/>
      <c r="M156" s="549"/>
      <c r="N156" s="549"/>
      <c r="O156" s="549"/>
      <c r="P156" s="549"/>
      <c r="Q156" s="549"/>
      <c r="R156" s="549"/>
      <c r="S156" s="549"/>
      <c r="T156" s="549"/>
      <c r="U156" s="549"/>
      <c r="V156" s="549"/>
      <c r="W156" s="549"/>
      <c r="X156" s="549"/>
      <c r="Y156" s="549"/>
      <c r="Z156" s="549"/>
      <c r="AA156" s="549"/>
      <c r="AB156" s="549"/>
      <c r="AC156" s="549"/>
      <c r="AD156" s="549"/>
      <c r="AE156" s="549"/>
      <c r="AF156" s="549"/>
    </row>
    <row r="157" spans="1:32" ht="15.75" customHeight="1">
      <c r="A157" s="549"/>
      <c r="B157" s="549"/>
      <c r="C157" s="549"/>
      <c r="D157" s="549"/>
      <c r="E157" s="549"/>
      <c r="F157" s="549"/>
      <c r="G157" s="549"/>
      <c r="H157" s="549"/>
      <c r="I157" s="549"/>
      <c r="J157" s="549"/>
      <c r="K157" s="549"/>
      <c r="L157" s="549"/>
      <c r="M157" s="549"/>
      <c r="N157" s="549"/>
      <c r="O157" s="549"/>
      <c r="P157" s="549"/>
      <c r="Q157" s="549"/>
      <c r="R157" s="549"/>
      <c r="S157" s="549"/>
      <c r="T157" s="549"/>
      <c r="U157" s="549"/>
      <c r="V157" s="549"/>
      <c r="W157" s="549"/>
      <c r="X157" s="549"/>
      <c r="Y157" s="549"/>
      <c r="Z157" s="549"/>
      <c r="AA157" s="549"/>
      <c r="AB157" s="549"/>
      <c r="AC157" s="549"/>
      <c r="AD157" s="549"/>
      <c r="AE157" s="549"/>
      <c r="AF157" s="549"/>
    </row>
    <row r="158" spans="1:32" ht="15.75" customHeight="1">
      <c r="A158" s="549"/>
      <c r="B158" s="549"/>
      <c r="C158" s="549"/>
      <c r="D158" s="549"/>
      <c r="E158" s="549"/>
      <c r="F158" s="549"/>
      <c r="G158" s="549"/>
      <c r="H158" s="549"/>
      <c r="I158" s="549"/>
      <c r="J158" s="549"/>
      <c r="K158" s="549"/>
      <c r="L158" s="549"/>
      <c r="M158" s="549"/>
      <c r="N158" s="549"/>
      <c r="O158" s="549"/>
      <c r="P158" s="549"/>
      <c r="Q158" s="549"/>
      <c r="R158" s="549"/>
      <c r="S158" s="549"/>
      <c r="T158" s="549"/>
      <c r="U158" s="549"/>
      <c r="V158" s="549"/>
      <c r="W158" s="549"/>
      <c r="X158" s="549"/>
      <c r="Y158" s="549"/>
      <c r="Z158" s="549"/>
      <c r="AA158" s="549"/>
      <c r="AB158" s="549"/>
      <c r="AC158" s="549"/>
      <c r="AD158" s="549"/>
      <c r="AE158" s="549"/>
      <c r="AF158" s="549"/>
    </row>
    <row r="159" spans="1:32" ht="15.75" customHeight="1">
      <c r="A159" s="549"/>
      <c r="B159" s="549"/>
      <c r="C159" s="549"/>
      <c r="D159" s="549"/>
      <c r="E159" s="549"/>
      <c r="F159" s="549"/>
      <c r="G159" s="549"/>
      <c r="H159" s="549"/>
      <c r="I159" s="549"/>
      <c r="J159" s="549"/>
      <c r="K159" s="549"/>
      <c r="L159" s="549"/>
      <c r="M159" s="549"/>
      <c r="N159" s="549"/>
      <c r="O159" s="549"/>
      <c r="P159" s="549"/>
      <c r="Q159" s="549"/>
      <c r="R159" s="549"/>
      <c r="S159" s="549"/>
      <c r="T159" s="549"/>
      <c r="U159" s="549"/>
      <c r="V159" s="549"/>
      <c r="W159" s="549"/>
      <c r="X159" s="549"/>
      <c r="Y159" s="549"/>
      <c r="Z159" s="549"/>
      <c r="AA159" s="549"/>
      <c r="AB159" s="549"/>
      <c r="AC159" s="549"/>
      <c r="AD159" s="549"/>
      <c r="AE159" s="549"/>
      <c r="AF159" s="549"/>
    </row>
    <row r="160" spans="1:32" ht="15.75" customHeight="1">
      <c r="A160" s="549"/>
      <c r="B160" s="549"/>
      <c r="C160" s="549"/>
      <c r="D160" s="549"/>
      <c r="E160" s="549"/>
      <c r="F160" s="549"/>
      <c r="G160" s="549"/>
      <c r="H160" s="549"/>
      <c r="I160" s="549"/>
      <c r="J160" s="549"/>
      <c r="K160" s="549"/>
      <c r="L160" s="549"/>
      <c r="M160" s="549"/>
      <c r="N160" s="549"/>
      <c r="O160" s="549"/>
      <c r="P160" s="549"/>
      <c r="Q160" s="549"/>
      <c r="R160" s="549"/>
      <c r="S160" s="549"/>
      <c r="T160" s="549"/>
      <c r="U160" s="549"/>
      <c r="V160" s="549"/>
      <c r="W160" s="549"/>
      <c r="X160" s="549"/>
      <c r="Y160" s="549"/>
      <c r="Z160" s="549"/>
      <c r="AA160" s="549"/>
      <c r="AB160" s="549"/>
      <c r="AC160" s="549"/>
      <c r="AD160" s="549"/>
      <c r="AE160" s="549"/>
      <c r="AF160" s="549"/>
    </row>
    <row r="161" spans="1:32" ht="15.75" customHeight="1">
      <c r="A161" s="549"/>
      <c r="B161" s="549"/>
      <c r="C161" s="549"/>
      <c r="D161" s="549"/>
      <c r="E161" s="549"/>
      <c r="F161" s="549"/>
      <c r="G161" s="549"/>
      <c r="H161" s="549"/>
      <c r="I161" s="549"/>
      <c r="J161" s="549"/>
      <c r="K161" s="549"/>
      <c r="L161" s="549"/>
      <c r="M161" s="549"/>
      <c r="N161" s="549"/>
      <c r="O161" s="549"/>
      <c r="P161" s="549"/>
      <c r="Q161" s="549"/>
      <c r="R161" s="549"/>
      <c r="S161" s="549"/>
      <c r="T161" s="549"/>
      <c r="U161" s="549"/>
      <c r="V161" s="549"/>
      <c r="W161" s="549"/>
      <c r="X161" s="549"/>
      <c r="Y161" s="549"/>
      <c r="Z161" s="549"/>
      <c r="AA161" s="549"/>
      <c r="AB161" s="549"/>
      <c r="AC161" s="549"/>
      <c r="AD161" s="549"/>
      <c r="AE161" s="549"/>
      <c r="AF161" s="549"/>
    </row>
    <row r="162" spans="1:32" ht="15.75" customHeight="1">
      <c r="A162" s="549"/>
      <c r="B162" s="549"/>
      <c r="C162" s="549"/>
      <c r="D162" s="549"/>
      <c r="E162" s="549"/>
      <c r="F162" s="549"/>
      <c r="G162" s="549"/>
      <c r="H162" s="549"/>
      <c r="I162" s="549"/>
      <c r="J162" s="549"/>
      <c r="K162" s="549"/>
      <c r="L162" s="549"/>
      <c r="M162" s="549"/>
      <c r="N162" s="549"/>
      <c r="O162" s="549"/>
      <c r="P162" s="549"/>
      <c r="Q162" s="549"/>
      <c r="R162" s="549"/>
      <c r="S162" s="549"/>
      <c r="T162" s="549"/>
      <c r="U162" s="549"/>
      <c r="V162" s="549"/>
      <c r="W162" s="549"/>
      <c r="X162" s="549"/>
      <c r="Y162" s="549"/>
      <c r="Z162" s="549"/>
      <c r="AA162" s="549"/>
      <c r="AB162" s="549"/>
      <c r="AC162" s="549"/>
      <c r="AD162" s="549"/>
      <c r="AE162" s="549"/>
      <c r="AF162" s="549"/>
    </row>
    <row r="163" spans="1:32" ht="15.75" customHeight="1">
      <c r="A163" s="549"/>
      <c r="B163" s="549"/>
      <c r="C163" s="549"/>
      <c r="D163" s="549"/>
      <c r="E163" s="549"/>
      <c r="F163" s="549"/>
      <c r="G163" s="549"/>
      <c r="H163" s="549"/>
      <c r="I163" s="549"/>
      <c r="J163" s="549"/>
      <c r="K163" s="549"/>
      <c r="L163" s="549"/>
      <c r="M163" s="549"/>
      <c r="N163" s="549"/>
      <c r="O163" s="549"/>
      <c r="P163" s="549"/>
      <c r="Q163" s="549"/>
      <c r="R163" s="549"/>
      <c r="S163" s="549"/>
      <c r="T163" s="549"/>
      <c r="U163" s="549"/>
      <c r="V163" s="549"/>
      <c r="W163" s="549"/>
      <c r="X163" s="549"/>
      <c r="Y163" s="549"/>
      <c r="Z163" s="549"/>
      <c r="AA163" s="549"/>
      <c r="AB163" s="549"/>
      <c r="AC163" s="549"/>
      <c r="AD163" s="549"/>
      <c r="AE163" s="549"/>
      <c r="AF163" s="549"/>
    </row>
    <row r="164" spans="1:32" ht="15.75" customHeight="1">
      <c r="A164" s="549"/>
      <c r="B164" s="549"/>
      <c r="C164" s="549"/>
      <c r="D164" s="549"/>
      <c r="E164" s="549"/>
      <c r="F164" s="549"/>
      <c r="G164" s="549"/>
      <c r="H164" s="549"/>
      <c r="I164" s="549"/>
      <c r="J164" s="549"/>
      <c r="K164" s="549"/>
      <c r="L164" s="549"/>
      <c r="M164" s="549"/>
      <c r="N164" s="549"/>
      <c r="O164" s="549"/>
      <c r="P164" s="549"/>
      <c r="Q164" s="549"/>
      <c r="R164" s="549"/>
      <c r="S164" s="549"/>
      <c r="T164" s="549"/>
      <c r="U164" s="549"/>
      <c r="V164" s="549"/>
      <c r="W164" s="549"/>
      <c r="X164" s="549"/>
      <c r="Y164" s="549"/>
      <c r="Z164" s="549"/>
      <c r="AA164" s="549"/>
      <c r="AB164" s="549"/>
      <c r="AC164" s="549"/>
      <c r="AD164" s="549"/>
      <c r="AE164" s="549"/>
      <c r="AF164" s="549"/>
    </row>
    <row r="165" spans="1:32" ht="15.75" customHeight="1">
      <c r="A165" s="549"/>
      <c r="B165" s="549"/>
      <c r="C165" s="549"/>
      <c r="D165" s="549"/>
      <c r="E165" s="549"/>
      <c r="F165" s="549"/>
      <c r="G165" s="549"/>
      <c r="H165" s="549"/>
      <c r="I165" s="549"/>
      <c r="J165" s="549"/>
      <c r="K165" s="549"/>
      <c r="L165" s="549"/>
      <c r="M165" s="549"/>
      <c r="N165" s="549"/>
      <c r="O165" s="549"/>
      <c r="P165" s="549"/>
      <c r="Q165" s="549"/>
      <c r="R165" s="549"/>
      <c r="S165" s="549"/>
      <c r="T165" s="549"/>
      <c r="U165" s="549"/>
      <c r="V165" s="549"/>
      <c r="W165" s="549"/>
      <c r="X165" s="549"/>
      <c r="Y165" s="549"/>
      <c r="Z165" s="549"/>
      <c r="AA165" s="549"/>
      <c r="AB165" s="549"/>
      <c r="AC165" s="549"/>
      <c r="AD165" s="549"/>
      <c r="AE165" s="549"/>
      <c r="AF165" s="549"/>
    </row>
    <row r="166" spans="1:32" ht="15.75" customHeight="1">
      <c r="A166" s="549"/>
      <c r="B166" s="549"/>
      <c r="C166" s="549"/>
      <c r="D166" s="549"/>
      <c r="E166" s="549"/>
      <c r="F166" s="549"/>
      <c r="G166" s="549"/>
      <c r="H166" s="549"/>
      <c r="I166" s="549"/>
      <c r="J166" s="549"/>
      <c r="K166" s="549"/>
      <c r="L166" s="549"/>
      <c r="M166" s="549"/>
      <c r="N166" s="549"/>
      <c r="O166" s="549"/>
      <c r="P166" s="549"/>
      <c r="Q166" s="549"/>
      <c r="R166" s="549"/>
      <c r="S166" s="549"/>
      <c r="T166" s="549"/>
      <c r="U166" s="549"/>
      <c r="V166" s="549"/>
      <c r="W166" s="549"/>
      <c r="X166" s="549"/>
      <c r="Y166" s="549"/>
      <c r="Z166" s="549"/>
      <c r="AA166" s="549"/>
      <c r="AB166" s="549"/>
      <c r="AC166" s="549"/>
      <c r="AD166" s="549"/>
      <c r="AE166" s="549"/>
      <c r="AF166" s="549"/>
    </row>
    <row r="167" spans="1:32" ht="15.75" customHeight="1">
      <c r="A167" s="549"/>
      <c r="B167" s="549"/>
      <c r="C167" s="549"/>
      <c r="D167" s="549"/>
      <c r="E167" s="549"/>
      <c r="F167" s="549"/>
      <c r="G167" s="549"/>
      <c r="H167" s="549"/>
      <c r="I167" s="549"/>
      <c r="J167" s="549"/>
      <c r="K167" s="549"/>
      <c r="L167" s="549"/>
      <c r="M167" s="549"/>
      <c r="N167" s="549"/>
      <c r="O167" s="549"/>
      <c r="P167" s="549"/>
      <c r="Q167" s="549"/>
      <c r="R167" s="549"/>
      <c r="S167" s="549"/>
      <c r="T167" s="549"/>
      <c r="U167" s="549"/>
      <c r="V167" s="549"/>
      <c r="W167" s="549"/>
      <c r="X167" s="549"/>
      <c r="Y167" s="549"/>
      <c r="Z167" s="549"/>
      <c r="AA167" s="549"/>
      <c r="AB167" s="549"/>
      <c r="AC167" s="549"/>
      <c r="AD167" s="549"/>
      <c r="AE167" s="549"/>
      <c r="AF167" s="549"/>
    </row>
    <row r="168" spans="1:32" ht="15.75" customHeight="1">
      <c r="A168" s="549"/>
      <c r="B168" s="549"/>
      <c r="C168" s="549"/>
      <c r="D168" s="549"/>
      <c r="E168" s="549"/>
      <c r="F168" s="549"/>
      <c r="G168" s="549"/>
      <c r="H168" s="549"/>
      <c r="I168" s="549"/>
      <c r="J168" s="549"/>
      <c r="K168" s="549"/>
      <c r="L168" s="549"/>
      <c r="M168" s="549"/>
      <c r="N168" s="549"/>
      <c r="O168" s="549"/>
      <c r="P168" s="549"/>
      <c r="Q168" s="549"/>
      <c r="R168" s="549"/>
      <c r="S168" s="549"/>
      <c r="T168" s="549"/>
      <c r="U168" s="549"/>
      <c r="V168" s="549"/>
      <c r="W168" s="549"/>
      <c r="X168" s="549"/>
      <c r="Y168" s="549"/>
      <c r="Z168" s="549"/>
      <c r="AA168" s="549"/>
      <c r="AB168" s="549"/>
      <c r="AC168" s="549"/>
      <c r="AD168" s="549"/>
      <c r="AE168" s="549"/>
      <c r="AF168" s="549"/>
    </row>
    <row r="169" spans="1:32" ht="15.75" customHeight="1">
      <c r="A169" s="549"/>
      <c r="B169" s="549"/>
      <c r="C169" s="549"/>
      <c r="D169" s="549"/>
      <c r="E169" s="549"/>
      <c r="F169" s="549"/>
      <c r="G169" s="549"/>
      <c r="H169" s="549"/>
      <c r="I169" s="549"/>
      <c r="J169" s="549"/>
      <c r="K169" s="549"/>
      <c r="L169" s="549"/>
      <c r="M169" s="549"/>
      <c r="N169" s="549"/>
      <c r="O169" s="549"/>
      <c r="P169" s="549"/>
      <c r="Q169" s="549"/>
      <c r="R169" s="549"/>
      <c r="S169" s="549"/>
      <c r="T169" s="549"/>
      <c r="U169" s="549"/>
      <c r="V169" s="549"/>
      <c r="W169" s="549"/>
      <c r="X169" s="549"/>
      <c r="Y169" s="549"/>
      <c r="Z169" s="549"/>
      <c r="AA169" s="549"/>
      <c r="AB169" s="549"/>
      <c r="AC169" s="549"/>
      <c r="AD169" s="549"/>
      <c r="AE169" s="549"/>
      <c r="AF169" s="549"/>
    </row>
    <row r="170" spans="1:32" ht="15.75" customHeight="1">
      <c r="A170" s="549"/>
      <c r="B170" s="549"/>
      <c r="C170" s="549"/>
      <c r="D170" s="549"/>
      <c r="E170" s="549"/>
      <c r="F170" s="549"/>
      <c r="G170" s="549"/>
      <c r="H170" s="549"/>
      <c r="I170" s="549"/>
      <c r="J170" s="549"/>
      <c r="K170" s="549"/>
      <c r="L170" s="549"/>
      <c r="M170" s="549"/>
      <c r="N170" s="549"/>
      <c r="O170" s="549"/>
      <c r="P170" s="549"/>
      <c r="Q170" s="549"/>
      <c r="R170" s="549"/>
      <c r="S170" s="549"/>
      <c r="T170" s="549"/>
      <c r="U170" s="549"/>
      <c r="V170" s="549"/>
      <c r="W170" s="549"/>
      <c r="X170" s="549"/>
      <c r="Y170" s="549"/>
      <c r="Z170" s="549"/>
      <c r="AA170" s="549"/>
      <c r="AB170" s="549"/>
      <c r="AC170" s="549"/>
      <c r="AD170" s="549"/>
      <c r="AE170" s="549"/>
      <c r="AF170" s="549"/>
    </row>
    <row r="171" spans="1:32" ht="15.75" customHeight="1">
      <c r="A171" s="549"/>
      <c r="B171" s="549"/>
      <c r="C171" s="549"/>
      <c r="D171" s="549"/>
      <c r="E171" s="549"/>
      <c r="F171" s="549"/>
      <c r="G171" s="549"/>
      <c r="H171" s="549"/>
      <c r="I171" s="549"/>
      <c r="J171" s="549"/>
      <c r="K171" s="549"/>
      <c r="L171" s="549"/>
      <c r="M171" s="549"/>
      <c r="N171" s="549"/>
      <c r="O171" s="549"/>
      <c r="P171" s="549"/>
      <c r="Q171" s="549"/>
      <c r="R171" s="549"/>
      <c r="S171" s="549"/>
      <c r="T171" s="549"/>
      <c r="U171" s="549"/>
      <c r="V171" s="549"/>
      <c r="W171" s="549"/>
      <c r="X171" s="549"/>
      <c r="Y171" s="549"/>
      <c r="Z171" s="549"/>
      <c r="AA171" s="549"/>
      <c r="AB171" s="549"/>
      <c r="AC171" s="549"/>
      <c r="AD171" s="549"/>
      <c r="AE171" s="549"/>
      <c r="AF171" s="549"/>
    </row>
    <row r="172" spans="1:32" ht="15.75" customHeight="1">
      <c r="A172" s="549"/>
      <c r="B172" s="549"/>
      <c r="C172" s="549"/>
      <c r="D172" s="549"/>
      <c r="E172" s="549"/>
      <c r="F172" s="549"/>
      <c r="G172" s="549"/>
      <c r="H172" s="549"/>
      <c r="I172" s="549"/>
      <c r="J172" s="549"/>
      <c r="K172" s="549"/>
      <c r="L172" s="549"/>
      <c r="M172" s="549"/>
      <c r="N172" s="549"/>
      <c r="O172" s="549"/>
      <c r="P172" s="549"/>
      <c r="Q172" s="549"/>
      <c r="R172" s="549"/>
      <c r="S172" s="549"/>
      <c r="T172" s="549"/>
      <c r="U172" s="549"/>
      <c r="V172" s="549"/>
      <c r="W172" s="549"/>
      <c r="X172" s="549"/>
      <c r="Y172" s="549"/>
      <c r="Z172" s="549"/>
      <c r="AA172" s="549"/>
      <c r="AB172" s="549"/>
      <c r="AC172" s="549"/>
      <c r="AD172" s="549"/>
      <c r="AE172" s="549"/>
      <c r="AF172" s="549"/>
    </row>
    <row r="173" spans="1:32" ht="15.75" customHeight="1">
      <c r="A173" s="549"/>
      <c r="B173" s="549"/>
      <c r="C173" s="549"/>
      <c r="D173" s="549"/>
      <c r="E173" s="549"/>
      <c r="F173" s="549"/>
      <c r="G173" s="549"/>
      <c r="H173" s="549"/>
      <c r="I173" s="549"/>
      <c r="J173" s="549"/>
      <c r="K173" s="549"/>
      <c r="L173" s="549"/>
      <c r="M173" s="549"/>
      <c r="N173" s="549"/>
      <c r="O173" s="549"/>
      <c r="P173" s="549"/>
      <c r="Q173" s="549"/>
      <c r="R173" s="549"/>
      <c r="S173" s="549"/>
      <c r="T173" s="549"/>
      <c r="U173" s="549"/>
      <c r="V173" s="549"/>
      <c r="W173" s="549"/>
      <c r="X173" s="549"/>
      <c r="Y173" s="549"/>
      <c r="Z173" s="549"/>
      <c r="AA173" s="549"/>
      <c r="AB173" s="549"/>
      <c r="AC173" s="549"/>
      <c r="AD173" s="549"/>
      <c r="AE173" s="549"/>
      <c r="AF173" s="549"/>
    </row>
    <row r="174" spans="1:32" ht="15.75" customHeight="1">
      <c r="A174" s="549"/>
      <c r="B174" s="549"/>
      <c r="C174" s="549"/>
      <c r="D174" s="549"/>
      <c r="E174" s="549"/>
      <c r="F174" s="549"/>
      <c r="G174" s="549"/>
      <c r="H174" s="549"/>
      <c r="I174" s="549"/>
      <c r="J174" s="549"/>
      <c r="K174" s="549"/>
      <c r="L174" s="549"/>
      <c r="M174" s="549"/>
      <c r="N174" s="549"/>
      <c r="O174" s="549"/>
      <c r="P174" s="549"/>
      <c r="Q174" s="549"/>
      <c r="R174" s="549"/>
      <c r="S174" s="549"/>
      <c r="T174" s="549"/>
      <c r="U174" s="549"/>
      <c r="V174" s="549"/>
      <c r="W174" s="549"/>
      <c r="X174" s="549"/>
      <c r="Y174" s="549"/>
      <c r="Z174" s="549"/>
      <c r="AA174" s="549"/>
      <c r="AB174" s="549"/>
      <c r="AC174" s="549"/>
      <c r="AD174" s="549"/>
      <c r="AE174" s="549"/>
      <c r="AF174" s="549"/>
    </row>
    <row r="175" spans="1:32" ht="15.75" customHeight="1">
      <c r="A175" s="549"/>
      <c r="B175" s="549"/>
      <c r="C175" s="549"/>
      <c r="D175" s="549"/>
      <c r="E175" s="549"/>
      <c r="F175" s="549"/>
      <c r="G175" s="549"/>
      <c r="H175" s="549"/>
      <c r="I175" s="549"/>
      <c r="J175" s="549"/>
      <c r="K175" s="549"/>
      <c r="L175" s="549"/>
      <c r="M175" s="549"/>
      <c r="N175" s="549"/>
      <c r="O175" s="549"/>
      <c r="P175" s="549"/>
      <c r="Q175" s="549"/>
      <c r="R175" s="549"/>
      <c r="S175" s="549"/>
      <c r="T175" s="549"/>
      <c r="U175" s="549"/>
      <c r="V175" s="549"/>
      <c r="W175" s="549"/>
      <c r="X175" s="549"/>
      <c r="Y175" s="549"/>
      <c r="Z175" s="549"/>
      <c r="AA175" s="549"/>
      <c r="AB175" s="549"/>
      <c r="AC175" s="549"/>
      <c r="AD175" s="549"/>
      <c r="AE175" s="549"/>
      <c r="AF175" s="549"/>
    </row>
    <row r="176" spans="1:32" ht="15.75" customHeight="1">
      <c r="A176" s="549"/>
      <c r="B176" s="549"/>
      <c r="C176" s="549"/>
      <c r="D176" s="549"/>
      <c r="E176" s="549"/>
      <c r="F176" s="549"/>
      <c r="G176" s="549"/>
      <c r="H176" s="549"/>
      <c r="I176" s="549"/>
      <c r="J176" s="549"/>
      <c r="K176" s="549"/>
      <c r="L176" s="549"/>
      <c r="M176" s="549"/>
      <c r="N176" s="549"/>
      <c r="O176" s="549"/>
      <c r="P176" s="549"/>
      <c r="Q176" s="549"/>
      <c r="R176" s="549"/>
      <c r="S176" s="549"/>
      <c r="T176" s="549"/>
      <c r="U176" s="549"/>
      <c r="V176" s="549"/>
      <c r="W176" s="549"/>
      <c r="X176" s="549"/>
      <c r="Y176" s="549"/>
      <c r="Z176" s="549"/>
      <c r="AA176" s="549"/>
      <c r="AB176" s="549"/>
      <c r="AC176" s="549"/>
      <c r="AD176" s="549"/>
      <c r="AE176" s="549"/>
      <c r="AF176" s="549"/>
    </row>
    <row r="177" spans="1:32" ht="15.75" customHeight="1">
      <c r="A177" s="549"/>
      <c r="B177" s="549"/>
      <c r="C177" s="549"/>
      <c r="D177" s="549"/>
      <c r="E177" s="549"/>
      <c r="F177" s="549"/>
      <c r="G177" s="549"/>
      <c r="H177" s="549"/>
      <c r="I177" s="549"/>
      <c r="J177" s="549"/>
      <c r="K177" s="549"/>
      <c r="L177" s="549"/>
      <c r="M177" s="549"/>
      <c r="N177" s="549"/>
      <c r="O177" s="549"/>
      <c r="P177" s="549"/>
      <c r="Q177" s="549"/>
      <c r="R177" s="549"/>
      <c r="S177" s="549"/>
      <c r="T177" s="549"/>
      <c r="U177" s="549"/>
      <c r="V177" s="549"/>
      <c r="W177" s="549"/>
      <c r="X177" s="549"/>
      <c r="Y177" s="549"/>
      <c r="Z177" s="549"/>
      <c r="AA177" s="549"/>
      <c r="AB177" s="549"/>
      <c r="AC177" s="549"/>
      <c r="AD177" s="549"/>
      <c r="AE177" s="549"/>
      <c r="AF177" s="549"/>
    </row>
    <row r="178" spans="1:32" ht="15.75" customHeight="1">
      <c r="A178" s="549"/>
      <c r="B178" s="549"/>
      <c r="C178" s="549"/>
      <c r="D178" s="549"/>
      <c r="E178" s="549"/>
      <c r="F178" s="549"/>
      <c r="G178" s="549"/>
      <c r="H178" s="549"/>
      <c r="I178" s="549"/>
      <c r="J178" s="549"/>
      <c r="K178" s="549"/>
      <c r="L178" s="549"/>
      <c r="M178" s="549"/>
      <c r="N178" s="549"/>
      <c r="O178" s="549"/>
      <c r="P178" s="549"/>
      <c r="Q178" s="549"/>
      <c r="R178" s="549"/>
      <c r="S178" s="549"/>
      <c r="T178" s="549"/>
      <c r="U178" s="549"/>
      <c r="V178" s="549"/>
      <c r="W178" s="549"/>
      <c r="X178" s="549"/>
      <c r="Y178" s="549"/>
      <c r="Z178" s="549"/>
      <c r="AA178" s="549"/>
      <c r="AB178" s="549"/>
      <c r="AC178" s="549"/>
      <c r="AD178" s="549"/>
      <c r="AE178" s="549"/>
      <c r="AF178" s="549"/>
    </row>
    <row r="179" spans="1:32" ht="15.75" customHeight="1">
      <c r="A179" s="549"/>
      <c r="B179" s="549"/>
      <c r="C179" s="549"/>
      <c r="D179" s="549"/>
      <c r="E179" s="549"/>
      <c r="F179" s="549"/>
      <c r="G179" s="549"/>
      <c r="H179" s="549"/>
      <c r="I179" s="549"/>
      <c r="J179" s="549"/>
      <c r="K179" s="549"/>
      <c r="L179" s="549"/>
      <c r="M179" s="549"/>
      <c r="N179" s="549"/>
      <c r="O179" s="549"/>
      <c r="P179" s="549"/>
      <c r="Q179" s="549"/>
      <c r="R179" s="549"/>
      <c r="S179" s="549"/>
      <c r="T179" s="549"/>
      <c r="U179" s="549"/>
      <c r="V179" s="549"/>
      <c r="W179" s="549"/>
      <c r="X179" s="549"/>
      <c r="Y179" s="549"/>
      <c r="Z179" s="549"/>
      <c r="AA179" s="549"/>
      <c r="AB179" s="549"/>
      <c r="AC179" s="549"/>
      <c r="AD179" s="549"/>
      <c r="AE179" s="549"/>
      <c r="AF179" s="549"/>
    </row>
    <row r="180" spans="1:32" ht="15.75" customHeight="1">
      <c r="A180" s="549"/>
      <c r="B180" s="549"/>
      <c r="C180" s="549"/>
      <c r="D180" s="549"/>
      <c r="E180" s="549"/>
      <c r="F180" s="549"/>
      <c r="G180" s="549"/>
      <c r="H180" s="549"/>
      <c r="I180" s="549"/>
      <c r="J180" s="549"/>
      <c r="K180" s="549"/>
      <c r="L180" s="549"/>
      <c r="M180" s="549"/>
      <c r="N180" s="549"/>
      <c r="O180" s="549"/>
      <c r="P180" s="549"/>
      <c r="Q180" s="549"/>
      <c r="R180" s="549"/>
      <c r="S180" s="549"/>
      <c r="T180" s="549"/>
      <c r="U180" s="549"/>
      <c r="V180" s="549"/>
      <c r="W180" s="549"/>
      <c r="X180" s="549"/>
      <c r="Y180" s="549"/>
      <c r="Z180" s="549"/>
      <c r="AA180" s="549"/>
      <c r="AB180" s="549"/>
      <c r="AC180" s="549"/>
      <c r="AD180" s="549"/>
      <c r="AE180" s="549"/>
      <c r="AF180" s="549"/>
    </row>
    <row r="181" spans="1:32" ht="15.75" customHeight="1">
      <c r="A181" s="549"/>
      <c r="B181" s="549"/>
      <c r="C181" s="549"/>
      <c r="D181" s="549"/>
      <c r="E181" s="549"/>
      <c r="F181" s="549"/>
      <c r="G181" s="549"/>
      <c r="H181" s="549"/>
      <c r="I181" s="549"/>
      <c r="J181" s="549"/>
      <c r="K181" s="549"/>
      <c r="L181" s="549"/>
      <c r="M181" s="549"/>
      <c r="N181" s="549"/>
      <c r="O181" s="549"/>
      <c r="P181" s="549"/>
      <c r="Q181" s="549"/>
      <c r="R181" s="549"/>
      <c r="S181" s="549"/>
      <c r="T181" s="549"/>
      <c r="U181" s="549"/>
      <c r="V181" s="549"/>
      <c r="W181" s="549"/>
      <c r="X181" s="549"/>
      <c r="Y181" s="549"/>
      <c r="Z181" s="549"/>
      <c r="AA181" s="549"/>
      <c r="AB181" s="549"/>
      <c r="AC181" s="549"/>
      <c r="AD181" s="549"/>
      <c r="AE181" s="549"/>
      <c r="AF181" s="549"/>
    </row>
    <row r="182" spans="1:32" ht="15.75" customHeight="1">
      <c r="A182" s="549"/>
      <c r="B182" s="549"/>
      <c r="C182" s="549"/>
      <c r="D182" s="549"/>
      <c r="E182" s="549"/>
      <c r="F182" s="549"/>
      <c r="G182" s="549"/>
      <c r="H182" s="549"/>
      <c r="I182" s="549"/>
      <c r="J182" s="549"/>
      <c r="K182" s="549"/>
      <c r="L182" s="549"/>
      <c r="M182" s="549"/>
      <c r="N182" s="549"/>
      <c r="O182" s="549"/>
      <c r="P182" s="549"/>
      <c r="Q182" s="549"/>
      <c r="R182" s="549"/>
      <c r="S182" s="549"/>
      <c r="T182" s="549"/>
      <c r="U182" s="549"/>
      <c r="V182" s="549"/>
      <c r="W182" s="549"/>
      <c r="X182" s="549"/>
      <c r="Y182" s="549"/>
      <c r="Z182" s="549"/>
      <c r="AA182" s="549"/>
      <c r="AB182" s="549"/>
      <c r="AC182" s="549"/>
      <c r="AD182" s="549"/>
      <c r="AE182" s="549"/>
      <c r="AF182" s="549"/>
    </row>
    <row r="183" spans="1:32" ht="15.75" customHeight="1">
      <c r="A183" s="549"/>
      <c r="B183" s="549"/>
      <c r="C183" s="549"/>
      <c r="D183" s="549"/>
      <c r="E183" s="549"/>
      <c r="F183" s="549"/>
      <c r="G183" s="549"/>
      <c r="H183" s="549"/>
      <c r="I183" s="549"/>
      <c r="J183" s="549"/>
      <c r="K183" s="549"/>
      <c r="L183" s="549"/>
      <c r="M183" s="549"/>
      <c r="N183" s="549"/>
      <c r="O183" s="549"/>
      <c r="P183" s="549"/>
      <c r="Q183" s="549"/>
      <c r="R183" s="549"/>
      <c r="S183" s="549"/>
      <c r="T183" s="549"/>
      <c r="U183" s="549"/>
      <c r="V183" s="549"/>
      <c r="W183" s="549"/>
      <c r="X183" s="549"/>
      <c r="Y183" s="549"/>
      <c r="Z183" s="549"/>
      <c r="AA183" s="549"/>
      <c r="AB183" s="549"/>
      <c r="AC183" s="549"/>
      <c r="AD183" s="549"/>
      <c r="AE183" s="549"/>
      <c r="AF183" s="549"/>
    </row>
    <row r="184" spans="1:32" ht="15.75" customHeight="1">
      <c r="A184" s="549"/>
      <c r="B184" s="549"/>
      <c r="C184" s="549"/>
      <c r="D184" s="549"/>
      <c r="E184" s="549"/>
      <c r="F184" s="549"/>
      <c r="G184" s="549"/>
      <c r="H184" s="549"/>
      <c r="I184" s="549"/>
      <c r="J184" s="549"/>
      <c r="K184" s="549"/>
      <c r="L184" s="549"/>
      <c r="M184" s="549"/>
      <c r="N184" s="549"/>
      <c r="O184" s="549"/>
      <c r="P184" s="549"/>
      <c r="Q184" s="549"/>
      <c r="R184" s="549"/>
      <c r="S184" s="549"/>
      <c r="T184" s="549"/>
      <c r="U184" s="549"/>
      <c r="V184" s="549"/>
      <c r="W184" s="549"/>
      <c r="X184" s="549"/>
      <c r="Y184" s="549"/>
      <c r="Z184" s="549"/>
      <c r="AA184" s="549"/>
      <c r="AB184" s="549"/>
      <c r="AC184" s="549"/>
      <c r="AD184" s="549"/>
      <c r="AE184" s="549"/>
      <c r="AF184" s="549"/>
    </row>
    <row r="185" spans="1:32" ht="15.75" customHeight="1">
      <c r="A185" s="549"/>
      <c r="B185" s="549"/>
      <c r="C185" s="549"/>
      <c r="D185" s="549"/>
      <c r="E185" s="549"/>
      <c r="F185" s="549"/>
      <c r="G185" s="549"/>
      <c r="H185" s="549"/>
      <c r="I185" s="549"/>
      <c r="J185" s="549"/>
      <c r="K185" s="549"/>
      <c r="L185" s="549"/>
      <c r="M185" s="549"/>
      <c r="N185" s="549"/>
      <c r="O185" s="549"/>
      <c r="P185" s="549"/>
      <c r="Q185" s="549"/>
      <c r="R185" s="549"/>
      <c r="S185" s="549"/>
      <c r="T185" s="549"/>
      <c r="U185" s="549"/>
      <c r="V185" s="549"/>
      <c r="W185" s="549"/>
      <c r="X185" s="549"/>
      <c r="Y185" s="549"/>
      <c r="Z185" s="549"/>
      <c r="AA185" s="549"/>
      <c r="AB185" s="549"/>
      <c r="AC185" s="549"/>
      <c r="AD185" s="549"/>
      <c r="AE185" s="549"/>
      <c r="AF185" s="549"/>
    </row>
    <row r="186" spans="1:32" ht="15.75" customHeight="1">
      <c r="A186" s="549"/>
      <c r="B186" s="549"/>
      <c r="C186" s="549"/>
      <c r="D186" s="549"/>
      <c r="E186" s="549"/>
      <c r="F186" s="549"/>
      <c r="G186" s="549"/>
      <c r="H186" s="549"/>
      <c r="I186" s="549"/>
      <c r="J186" s="549"/>
      <c r="K186" s="549"/>
      <c r="L186" s="549"/>
      <c r="M186" s="549"/>
      <c r="N186" s="549"/>
      <c r="O186" s="549"/>
      <c r="P186" s="549"/>
      <c r="Q186" s="549"/>
      <c r="R186" s="549"/>
      <c r="S186" s="549"/>
      <c r="T186" s="549"/>
      <c r="U186" s="549"/>
      <c r="V186" s="549"/>
      <c r="W186" s="549"/>
      <c r="X186" s="549"/>
      <c r="Y186" s="549"/>
      <c r="Z186" s="549"/>
      <c r="AA186" s="549"/>
      <c r="AB186" s="549"/>
      <c r="AC186" s="549"/>
      <c r="AD186" s="549"/>
      <c r="AE186" s="549"/>
      <c r="AF186" s="549"/>
    </row>
    <row r="187" spans="1:32" ht="15.75" customHeight="1">
      <c r="A187" s="549"/>
      <c r="B187" s="549"/>
      <c r="C187" s="549"/>
      <c r="D187" s="549"/>
      <c r="E187" s="549"/>
      <c r="F187" s="549"/>
      <c r="G187" s="549"/>
      <c r="H187" s="549"/>
      <c r="I187" s="549"/>
      <c r="J187" s="549"/>
      <c r="K187" s="549"/>
      <c r="L187" s="549"/>
      <c r="M187" s="549"/>
      <c r="N187" s="549"/>
      <c r="O187" s="549"/>
      <c r="P187" s="549"/>
      <c r="Q187" s="549"/>
      <c r="R187" s="549"/>
      <c r="S187" s="549"/>
      <c r="T187" s="549"/>
      <c r="U187" s="549"/>
      <c r="V187" s="549"/>
      <c r="W187" s="549"/>
      <c r="X187" s="549"/>
      <c r="Y187" s="549"/>
      <c r="Z187" s="549"/>
      <c r="AA187" s="549"/>
      <c r="AB187" s="549"/>
      <c r="AC187" s="549"/>
      <c r="AD187" s="549"/>
      <c r="AE187" s="549"/>
      <c r="AF187" s="549"/>
    </row>
    <row r="188" spans="1:32" ht="15.75" customHeight="1">
      <c r="A188" s="549"/>
      <c r="B188" s="549"/>
      <c r="C188" s="549"/>
      <c r="D188" s="549"/>
      <c r="E188" s="549"/>
      <c r="F188" s="549"/>
      <c r="G188" s="549"/>
      <c r="H188" s="549"/>
      <c r="I188" s="549"/>
      <c r="J188" s="549"/>
      <c r="K188" s="549"/>
      <c r="L188" s="549"/>
      <c r="M188" s="549"/>
      <c r="N188" s="549"/>
      <c r="O188" s="549"/>
      <c r="P188" s="549"/>
      <c r="Q188" s="549"/>
      <c r="R188" s="549"/>
      <c r="S188" s="549"/>
      <c r="T188" s="549"/>
      <c r="U188" s="549"/>
      <c r="V188" s="549"/>
      <c r="W188" s="549"/>
      <c r="X188" s="549"/>
      <c r="Y188" s="549"/>
      <c r="Z188" s="549"/>
      <c r="AA188" s="549"/>
      <c r="AB188" s="549"/>
      <c r="AC188" s="549"/>
      <c r="AD188" s="549"/>
      <c r="AE188" s="549"/>
      <c r="AF188" s="549"/>
    </row>
    <row r="189" spans="1:32" ht="15.75" customHeight="1">
      <c r="A189" s="549"/>
      <c r="B189" s="549"/>
      <c r="C189" s="549"/>
      <c r="D189" s="549"/>
      <c r="E189" s="549"/>
      <c r="F189" s="549"/>
      <c r="G189" s="549"/>
      <c r="H189" s="549"/>
      <c r="I189" s="549"/>
      <c r="J189" s="549"/>
      <c r="K189" s="549"/>
      <c r="L189" s="549"/>
      <c r="M189" s="549"/>
      <c r="N189" s="549"/>
      <c r="O189" s="549"/>
      <c r="P189" s="549"/>
      <c r="Q189" s="549"/>
      <c r="R189" s="549"/>
      <c r="S189" s="549"/>
      <c r="T189" s="549"/>
      <c r="U189" s="549"/>
      <c r="V189" s="549"/>
      <c r="W189" s="549"/>
      <c r="X189" s="549"/>
      <c r="Y189" s="549"/>
      <c r="Z189" s="549"/>
      <c r="AA189" s="549"/>
      <c r="AB189" s="549"/>
      <c r="AC189" s="549"/>
      <c r="AD189" s="549"/>
      <c r="AE189" s="549"/>
      <c r="AF189" s="549"/>
    </row>
    <row r="190" spans="1:32" ht="15.75" customHeight="1">
      <c r="A190" s="549"/>
      <c r="B190" s="549"/>
      <c r="C190" s="549"/>
      <c r="D190" s="549"/>
      <c r="E190" s="549"/>
      <c r="F190" s="549"/>
      <c r="G190" s="549"/>
      <c r="H190" s="549"/>
      <c r="I190" s="549"/>
      <c r="J190" s="549"/>
      <c r="K190" s="549"/>
      <c r="L190" s="549"/>
      <c r="M190" s="549"/>
      <c r="N190" s="549"/>
      <c r="O190" s="549"/>
      <c r="P190" s="549"/>
      <c r="Q190" s="549"/>
      <c r="R190" s="549"/>
      <c r="S190" s="549"/>
      <c r="T190" s="549"/>
      <c r="U190" s="549"/>
      <c r="V190" s="549"/>
      <c r="W190" s="549"/>
      <c r="X190" s="549"/>
      <c r="Y190" s="549"/>
      <c r="Z190" s="549"/>
      <c r="AA190" s="549"/>
      <c r="AB190" s="549"/>
      <c r="AC190" s="549"/>
      <c r="AD190" s="549"/>
      <c r="AE190" s="549"/>
      <c r="AF190" s="549"/>
    </row>
    <row r="191" spans="1:32" ht="15.75" customHeight="1">
      <c r="A191" s="549"/>
      <c r="B191" s="549"/>
      <c r="C191" s="549"/>
      <c r="D191" s="549"/>
      <c r="E191" s="549"/>
      <c r="F191" s="549"/>
      <c r="G191" s="549"/>
      <c r="H191" s="549"/>
      <c r="I191" s="549"/>
      <c r="J191" s="549"/>
      <c r="K191" s="549"/>
      <c r="L191" s="549"/>
      <c r="M191" s="549"/>
      <c r="N191" s="549"/>
      <c r="O191" s="549"/>
      <c r="P191" s="549"/>
      <c r="Q191" s="549"/>
      <c r="R191" s="549"/>
      <c r="S191" s="549"/>
      <c r="T191" s="549"/>
      <c r="U191" s="549"/>
      <c r="V191" s="549"/>
      <c r="W191" s="549"/>
      <c r="X191" s="549"/>
      <c r="Y191" s="549"/>
      <c r="Z191" s="549"/>
      <c r="AA191" s="549"/>
      <c r="AB191" s="549"/>
      <c r="AC191" s="549"/>
      <c r="AD191" s="549"/>
      <c r="AE191" s="549"/>
      <c r="AF191" s="549"/>
    </row>
    <row r="192" spans="1:32" ht="15.75" customHeight="1">
      <c r="A192" s="549"/>
      <c r="B192" s="549"/>
      <c r="C192" s="549"/>
      <c r="D192" s="549"/>
      <c r="E192" s="549"/>
      <c r="F192" s="549"/>
      <c r="G192" s="549"/>
      <c r="H192" s="549"/>
      <c r="I192" s="549"/>
      <c r="J192" s="549"/>
      <c r="K192" s="549"/>
      <c r="L192" s="549"/>
      <c r="M192" s="549"/>
      <c r="N192" s="549"/>
      <c r="O192" s="549"/>
      <c r="P192" s="549"/>
      <c r="Q192" s="549"/>
      <c r="R192" s="549"/>
      <c r="S192" s="549"/>
      <c r="T192" s="549"/>
      <c r="U192" s="549"/>
      <c r="V192" s="549"/>
      <c r="W192" s="549"/>
      <c r="X192" s="549"/>
      <c r="Y192" s="549"/>
      <c r="Z192" s="549"/>
      <c r="AA192" s="549"/>
      <c r="AB192" s="549"/>
      <c r="AC192" s="549"/>
      <c r="AD192" s="549"/>
      <c r="AE192" s="549"/>
      <c r="AF192" s="549"/>
    </row>
    <row r="193" spans="1:32" ht="15.75" customHeight="1">
      <c r="A193" s="549"/>
      <c r="B193" s="549"/>
      <c r="C193" s="549"/>
      <c r="D193" s="549"/>
      <c r="E193" s="549"/>
      <c r="F193" s="549"/>
      <c r="G193" s="549"/>
      <c r="H193" s="549"/>
      <c r="I193" s="549"/>
      <c r="J193" s="549"/>
      <c r="K193" s="549"/>
      <c r="L193" s="549"/>
      <c r="M193" s="549"/>
      <c r="N193" s="549"/>
      <c r="O193" s="549"/>
      <c r="P193" s="549"/>
      <c r="Q193" s="549"/>
      <c r="R193" s="549"/>
      <c r="S193" s="549"/>
      <c r="T193" s="549"/>
      <c r="U193" s="549"/>
      <c r="V193" s="549"/>
      <c r="W193" s="549"/>
      <c r="X193" s="549"/>
      <c r="Y193" s="549"/>
      <c r="Z193" s="549"/>
      <c r="AA193" s="549"/>
      <c r="AB193" s="549"/>
      <c r="AC193" s="549"/>
      <c r="AD193" s="549"/>
      <c r="AE193" s="549"/>
      <c r="AF193" s="549"/>
    </row>
    <row r="194" spans="1:32" ht="15.75" customHeight="1">
      <c r="A194" s="549"/>
      <c r="B194" s="549"/>
      <c r="C194" s="549"/>
      <c r="D194" s="549"/>
      <c r="E194" s="549"/>
      <c r="F194" s="549"/>
      <c r="G194" s="549"/>
      <c r="H194" s="549"/>
      <c r="I194" s="549"/>
      <c r="J194" s="549"/>
      <c r="K194" s="549"/>
      <c r="L194" s="549"/>
      <c r="M194" s="549"/>
      <c r="N194" s="549"/>
      <c r="O194" s="549"/>
      <c r="P194" s="549"/>
      <c r="Q194" s="549"/>
      <c r="R194" s="549"/>
      <c r="S194" s="549"/>
      <c r="T194" s="549"/>
      <c r="U194" s="549"/>
      <c r="V194" s="549"/>
      <c r="W194" s="549"/>
      <c r="X194" s="549"/>
      <c r="Y194" s="549"/>
      <c r="Z194" s="549"/>
      <c r="AA194" s="549"/>
      <c r="AB194" s="549"/>
      <c r="AC194" s="549"/>
      <c r="AD194" s="549"/>
      <c r="AE194" s="549"/>
      <c r="AF194" s="549"/>
    </row>
    <row r="195" spans="1:32" ht="15.75" customHeight="1">
      <c r="A195" s="549"/>
      <c r="B195" s="549"/>
      <c r="C195" s="549"/>
      <c r="D195" s="549"/>
      <c r="E195" s="549"/>
      <c r="F195" s="549"/>
      <c r="G195" s="549"/>
      <c r="H195" s="549"/>
      <c r="I195" s="549"/>
      <c r="J195" s="549"/>
      <c r="K195" s="549"/>
      <c r="L195" s="549"/>
      <c r="M195" s="549"/>
      <c r="N195" s="549"/>
      <c r="O195" s="549"/>
      <c r="P195" s="549"/>
      <c r="Q195" s="549"/>
      <c r="R195" s="549"/>
      <c r="S195" s="549"/>
      <c r="T195" s="549"/>
      <c r="U195" s="549"/>
      <c r="V195" s="549"/>
      <c r="W195" s="549"/>
      <c r="X195" s="549"/>
      <c r="Y195" s="549"/>
      <c r="Z195" s="549"/>
      <c r="AA195" s="549"/>
      <c r="AB195" s="549"/>
      <c r="AC195" s="549"/>
      <c r="AD195" s="549"/>
      <c r="AE195" s="549"/>
      <c r="AF195" s="549"/>
    </row>
    <row r="196" spans="1:32" ht="15.75" customHeight="1">
      <c r="A196" s="549"/>
      <c r="B196" s="549"/>
      <c r="C196" s="549"/>
      <c r="D196" s="549"/>
      <c r="E196" s="549"/>
      <c r="F196" s="549"/>
      <c r="G196" s="549"/>
      <c r="H196" s="549"/>
      <c r="I196" s="549"/>
      <c r="J196" s="549"/>
      <c r="K196" s="549"/>
      <c r="L196" s="549"/>
      <c r="M196" s="549"/>
      <c r="N196" s="549"/>
      <c r="O196" s="549"/>
      <c r="P196" s="549"/>
      <c r="Q196" s="549"/>
      <c r="R196" s="549"/>
      <c r="S196" s="549"/>
      <c r="T196" s="549"/>
      <c r="U196" s="549"/>
      <c r="V196" s="549"/>
      <c r="W196" s="549"/>
      <c r="X196" s="549"/>
      <c r="Y196" s="549"/>
      <c r="Z196" s="549"/>
      <c r="AA196" s="549"/>
      <c r="AB196" s="549"/>
      <c r="AC196" s="549"/>
      <c r="AD196" s="549"/>
      <c r="AE196" s="549"/>
      <c r="AF196" s="549"/>
    </row>
    <row r="197" spans="1:32" ht="15.75" customHeight="1">
      <c r="A197" s="549"/>
      <c r="B197" s="549"/>
      <c r="C197" s="549"/>
      <c r="D197" s="549"/>
      <c r="E197" s="549"/>
      <c r="F197" s="549"/>
      <c r="G197" s="549"/>
      <c r="H197" s="549"/>
      <c r="I197" s="549"/>
      <c r="J197" s="549"/>
      <c r="K197" s="549"/>
      <c r="L197" s="549"/>
      <c r="M197" s="549"/>
      <c r="N197" s="549"/>
      <c r="O197" s="549"/>
      <c r="P197" s="549"/>
      <c r="Q197" s="549"/>
      <c r="R197" s="549"/>
      <c r="S197" s="549"/>
      <c r="T197" s="549"/>
      <c r="U197" s="549"/>
      <c r="V197" s="549"/>
      <c r="W197" s="549"/>
      <c r="X197" s="549"/>
      <c r="Y197" s="549"/>
      <c r="Z197" s="549"/>
      <c r="AA197" s="549"/>
      <c r="AB197" s="549"/>
      <c r="AC197" s="549"/>
      <c r="AD197" s="549"/>
      <c r="AE197" s="549"/>
      <c r="AF197" s="549"/>
    </row>
    <row r="198" spans="1:32" ht="15.75" customHeight="1">
      <c r="A198" s="549"/>
      <c r="B198" s="549"/>
      <c r="C198" s="549"/>
      <c r="D198" s="549"/>
      <c r="E198" s="549"/>
      <c r="F198" s="549"/>
      <c r="G198" s="549"/>
      <c r="H198" s="549"/>
      <c r="I198" s="549"/>
      <c r="J198" s="549"/>
      <c r="K198" s="549"/>
      <c r="L198" s="549"/>
      <c r="M198" s="549"/>
      <c r="N198" s="549"/>
      <c r="O198" s="549"/>
      <c r="P198" s="549"/>
      <c r="Q198" s="549"/>
      <c r="R198" s="549"/>
      <c r="S198" s="549"/>
      <c r="T198" s="549"/>
      <c r="U198" s="549"/>
      <c r="V198" s="549"/>
      <c r="W198" s="549"/>
      <c r="X198" s="549"/>
      <c r="Y198" s="549"/>
      <c r="Z198" s="549"/>
      <c r="AA198" s="549"/>
      <c r="AB198" s="549"/>
      <c r="AC198" s="549"/>
      <c r="AD198" s="549"/>
      <c r="AE198" s="549"/>
      <c r="AF198" s="549"/>
    </row>
    <row r="199" spans="1:32" ht="15.75" customHeight="1">
      <c r="A199" s="549"/>
      <c r="B199" s="549"/>
      <c r="C199" s="549"/>
      <c r="D199" s="549"/>
      <c r="E199" s="549"/>
      <c r="F199" s="549"/>
      <c r="G199" s="549"/>
      <c r="H199" s="549"/>
      <c r="I199" s="549"/>
      <c r="J199" s="549"/>
      <c r="K199" s="549"/>
      <c r="L199" s="549"/>
      <c r="M199" s="549"/>
      <c r="N199" s="549"/>
      <c r="O199" s="549"/>
      <c r="P199" s="549"/>
      <c r="Q199" s="549"/>
      <c r="R199" s="549"/>
      <c r="S199" s="549"/>
      <c r="T199" s="549"/>
      <c r="U199" s="549"/>
      <c r="V199" s="549"/>
      <c r="W199" s="549"/>
      <c r="X199" s="549"/>
      <c r="Y199" s="549"/>
      <c r="Z199" s="549"/>
      <c r="AA199" s="549"/>
      <c r="AB199" s="549"/>
      <c r="AC199" s="549"/>
      <c r="AD199" s="549"/>
      <c r="AE199" s="549"/>
      <c r="AF199" s="549"/>
    </row>
    <row r="200" spans="1:32" ht="15.75" customHeight="1">
      <c r="A200" s="549"/>
      <c r="B200" s="549"/>
      <c r="C200" s="549"/>
      <c r="D200" s="549"/>
      <c r="E200" s="549"/>
      <c r="F200" s="549"/>
      <c r="G200" s="549"/>
      <c r="H200" s="549"/>
      <c r="I200" s="549"/>
      <c r="J200" s="549"/>
      <c r="K200" s="549"/>
      <c r="L200" s="549"/>
      <c r="M200" s="549"/>
      <c r="N200" s="549"/>
      <c r="O200" s="549"/>
      <c r="P200" s="549"/>
      <c r="Q200" s="549"/>
      <c r="R200" s="549"/>
      <c r="S200" s="549"/>
      <c r="T200" s="549"/>
      <c r="U200" s="549"/>
      <c r="V200" s="549"/>
      <c r="W200" s="549"/>
      <c r="X200" s="549"/>
      <c r="Y200" s="549"/>
      <c r="Z200" s="549"/>
      <c r="AA200" s="549"/>
      <c r="AB200" s="549"/>
      <c r="AC200" s="549"/>
      <c r="AD200" s="549"/>
      <c r="AE200" s="549"/>
      <c r="AF200" s="549"/>
    </row>
    <row r="201" spans="1:32" ht="15.75" customHeight="1">
      <c r="A201" s="549"/>
      <c r="B201" s="549"/>
      <c r="C201" s="549"/>
      <c r="D201" s="549"/>
      <c r="E201" s="549"/>
      <c r="F201" s="549"/>
      <c r="G201" s="549"/>
      <c r="H201" s="549"/>
      <c r="I201" s="549"/>
      <c r="J201" s="549"/>
      <c r="K201" s="549"/>
      <c r="L201" s="549"/>
      <c r="M201" s="549"/>
      <c r="N201" s="549"/>
      <c r="O201" s="549"/>
      <c r="P201" s="549"/>
      <c r="Q201" s="549"/>
      <c r="R201" s="549"/>
      <c r="S201" s="549"/>
      <c r="T201" s="549"/>
      <c r="U201" s="549"/>
      <c r="V201" s="549"/>
      <c r="W201" s="549"/>
      <c r="X201" s="549"/>
      <c r="Y201" s="549"/>
      <c r="Z201" s="549"/>
      <c r="AA201" s="549"/>
      <c r="AB201" s="549"/>
      <c r="AC201" s="549"/>
      <c r="AD201" s="549"/>
      <c r="AE201" s="549"/>
      <c r="AF201" s="549"/>
    </row>
    <row r="202" spans="1:32" ht="15.75" customHeight="1">
      <c r="A202" s="549"/>
      <c r="B202" s="549"/>
      <c r="C202" s="549"/>
      <c r="D202" s="549"/>
      <c r="E202" s="549"/>
      <c r="F202" s="549"/>
      <c r="G202" s="549"/>
      <c r="H202" s="549"/>
      <c r="I202" s="549"/>
      <c r="J202" s="549"/>
      <c r="K202" s="549"/>
      <c r="L202" s="549"/>
      <c r="M202" s="549"/>
      <c r="N202" s="549"/>
      <c r="O202" s="549"/>
      <c r="P202" s="549"/>
      <c r="Q202" s="549"/>
      <c r="R202" s="549"/>
      <c r="S202" s="549"/>
      <c r="T202" s="549"/>
      <c r="U202" s="549"/>
      <c r="V202" s="549"/>
      <c r="W202" s="549"/>
      <c r="X202" s="549"/>
      <c r="Y202" s="549"/>
      <c r="Z202" s="549"/>
      <c r="AA202" s="549"/>
      <c r="AB202" s="549"/>
      <c r="AC202" s="549"/>
      <c r="AD202" s="549"/>
      <c r="AE202" s="549"/>
      <c r="AF202" s="549"/>
    </row>
    <row r="203" spans="1:32" ht="15.75" customHeight="1">
      <c r="A203" s="549"/>
      <c r="B203" s="549"/>
      <c r="C203" s="549"/>
      <c r="D203" s="549"/>
      <c r="E203" s="549"/>
      <c r="F203" s="549"/>
      <c r="G203" s="549"/>
      <c r="H203" s="549"/>
      <c r="I203" s="549"/>
      <c r="J203" s="549"/>
      <c r="K203" s="549"/>
      <c r="L203" s="549"/>
      <c r="M203" s="549"/>
      <c r="N203" s="549"/>
      <c r="O203" s="549"/>
      <c r="P203" s="549"/>
      <c r="Q203" s="549"/>
      <c r="R203" s="549"/>
      <c r="S203" s="549"/>
      <c r="T203" s="549"/>
      <c r="U203" s="549"/>
      <c r="V203" s="549"/>
      <c r="W203" s="549"/>
      <c r="X203" s="549"/>
      <c r="Y203" s="549"/>
      <c r="Z203" s="549"/>
      <c r="AA203" s="549"/>
      <c r="AB203" s="549"/>
      <c r="AC203" s="549"/>
      <c r="AD203" s="549"/>
      <c r="AE203" s="549"/>
      <c r="AF203" s="549"/>
    </row>
    <row r="204" spans="1:32" ht="15.75" customHeight="1">
      <c r="A204" s="549"/>
      <c r="B204" s="549"/>
      <c r="C204" s="549"/>
      <c r="D204" s="549"/>
      <c r="E204" s="549"/>
      <c r="F204" s="549"/>
      <c r="G204" s="549"/>
      <c r="H204" s="549"/>
      <c r="I204" s="549"/>
      <c r="J204" s="549"/>
      <c r="K204" s="549"/>
      <c r="L204" s="549"/>
      <c r="M204" s="549"/>
      <c r="N204" s="549"/>
      <c r="O204" s="549"/>
      <c r="P204" s="549"/>
      <c r="Q204" s="549"/>
      <c r="R204" s="549"/>
      <c r="S204" s="549"/>
      <c r="T204" s="549"/>
      <c r="U204" s="549"/>
      <c r="V204" s="549"/>
      <c r="W204" s="549"/>
      <c r="X204" s="549"/>
      <c r="Y204" s="549"/>
      <c r="Z204" s="549"/>
      <c r="AA204" s="549"/>
      <c r="AB204" s="549"/>
      <c r="AC204" s="549"/>
      <c r="AD204" s="549"/>
      <c r="AE204" s="549"/>
      <c r="AF204" s="549"/>
    </row>
    <row r="205" spans="1:32" ht="15.75" customHeight="1">
      <c r="A205" s="549"/>
      <c r="B205" s="549"/>
      <c r="C205" s="549"/>
      <c r="D205" s="549"/>
      <c r="E205" s="549"/>
      <c r="F205" s="549"/>
      <c r="G205" s="549"/>
      <c r="H205" s="549"/>
      <c r="I205" s="549"/>
      <c r="J205" s="549"/>
      <c r="K205" s="549"/>
      <c r="L205" s="549"/>
      <c r="M205" s="549"/>
      <c r="N205" s="549"/>
      <c r="O205" s="549"/>
      <c r="P205" s="549"/>
      <c r="Q205" s="549"/>
      <c r="R205" s="549"/>
      <c r="S205" s="549"/>
      <c r="T205" s="549"/>
      <c r="U205" s="549"/>
      <c r="V205" s="549"/>
      <c r="W205" s="549"/>
      <c r="X205" s="549"/>
      <c r="Y205" s="549"/>
      <c r="Z205" s="549"/>
      <c r="AA205" s="549"/>
      <c r="AB205" s="549"/>
      <c r="AC205" s="549"/>
      <c r="AD205" s="549"/>
      <c r="AE205" s="549"/>
      <c r="AF205" s="549"/>
    </row>
    <row r="206" spans="1:32" ht="15.75" customHeight="1">
      <c r="A206" s="549"/>
      <c r="B206" s="549"/>
      <c r="C206" s="549"/>
      <c r="D206" s="549"/>
      <c r="E206" s="549"/>
      <c r="F206" s="549"/>
      <c r="G206" s="549"/>
      <c r="H206" s="549"/>
      <c r="I206" s="549"/>
      <c r="J206" s="549"/>
      <c r="K206" s="549"/>
      <c r="L206" s="549"/>
      <c r="M206" s="549"/>
      <c r="N206" s="549"/>
      <c r="O206" s="549"/>
      <c r="P206" s="549"/>
      <c r="Q206" s="549"/>
      <c r="R206" s="549"/>
      <c r="S206" s="549"/>
      <c r="T206" s="549"/>
      <c r="U206" s="549"/>
      <c r="V206" s="549"/>
      <c r="W206" s="549"/>
      <c r="X206" s="549"/>
      <c r="Y206" s="549"/>
      <c r="Z206" s="549"/>
      <c r="AA206" s="549"/>
      <c r="AB206" s="549"/>
      <c r="AC206" s="549"/>
      <c r="AD206" s="549"/>
      <c r="AE206" s="549"/>
      <c r="AF206" s="549"/>
    </row>
    <row r="207" spans="1:32" ht="15.75" customHeight="1">
      <c r="A207" s="549"/>
      <c r="B207" s="549"/>
      <c r="C207" s="549"/>
      <c r="D207" s="549"/>
      <c r="E207" s="549"/>
      <c r="F207" s="549"/>
      <c r="G207" s="549"/>
      <c r="H207" s="549"/>
      <c r="I207" s="549"/>
      <c r="J207" s="549"/>
      <c r="K207" s="549"/>
      <c r="L207" s="549"/>
      <c r="M207" s="549"/>
      <c r="N207" s="549"/>
      <c r="O207" s="549"/>
      <c r="P207" s="549"/>
      <c r="Q207" s="549"/>
      <c r="R207" s="549"/>
      <c r="S207" s="549"/>
      <c r="T207" s="549"/>
      <c r="U207" s="549"/>
      <c r="V207" s="549"/>
      <c r="W207" s="549"/>
      <c r="X207" s="549"/>
      <c r="Y207" s="549"/>
      <c r="Z207" s="549"/>
      <c r="AA207" s="549"/>
      <c r="AB207" s="549"/>
      <c r="AC207" s="549"/>
      <c r="AD207" s="549"/>
      <c r="AE207" s="549"/>
      <c r="AF207" s="549"/>
    </row>
    <row r="208" spans="1:32" ht="15.75" customHeight="1">
      <c r="A208" s="549"/>
      <c r="B208" s="549"/>
      <c r="C208" s="549"/>
      <c r="D208" s="549"/>
      <c r="E208" s="549"/>
      <c r="F208" s="549"/>
      <c r="G208" s="549"/>
      <c r="H208" s="549"/>
      <c r="I208" s="549"/>
      <c r="J208" s="549"/>
      <c r="K208" s="549"/>
      <c r="L208" s="549"/>
      <c r="M208" s="549"/>
      <c r="N208" s="549"/>
      <c r="O208" s="549"/>
      <c r="P208" s="549"/>
      <c r="Q208" s="549"/>
      <c r="R208" s="549"/>
      <c r="S208" s="549"/>
      <c r="T208" s="549"/>
      <c r="U208" s="549"/>
      <c r="V208" s="549"/>
      <c r="W208" s="549"/>
      <c r="X208" s="549"/>
      <c r="Y208" s="549"/>
      <c r="Z208" s="549"/>
      <c r="AA208" s="549"/>
      <c r="AB208" s="549"/>
      <c r="AC208" s="549"/>
      <c r="AD208" s="549"/>
      <c r="AE208" s="549"/>
      <c r="AF208" s="549"/>
    </row>
    <row r="209" spans="1:32" ht="15.75" customHeight="1">
      <c r="A209" s="549"/>
      <c r="B209" s="549"/>
      <c r="C209" s="549"/>
      <c r="D209" s="549"/>
      <c r="E209" s="549"/>
      <c r="F209" s="549"/>
      <c r="G209" s="549"/>
      <c r="H209" s="549"/>
      <c r="I209" s="549"/>
      <c r="J209" s="549"/>
      <c r="K209" s="549"/>
      <c r="L209" s="549"/>
      <c r="M209" s="549"/>
      <c r="N209" s="549"/>
      <c r="O209" s="549"/>
      <c r="P209" s="549"/>
      <c r="Q209" s="549"/>
      <c r="R209" s="549"/>
      <c r="S209" s="549"/>
      <c r="T209" s="549"/>
      <c r="U209" s="549"/>
      <c r="V209" s="549"/>
      <c r="W209" s="549"/>
      <c r="X209" s="549"/>
      <c r="Y209" s="549"/>
      <c r="Z209" s="549"/>
      <c r="AA209" s="549"/>
      <c r="AB209" s="549"/>
      <c r="AC209" s="549"/>
      <c r="AD209" s="549"/>
      <c r="AE209" s="549"/>
      <c r="AF209" s="549"/>
    </row>
    <row r="210" spans="1:32" ht="15.75" customHeight="1">
      <c r="A210" s="549"/>
      <c r="B210" s="549"/>
      <c r="C210" s="549"/>
      <c r="D210" s="549"/>
      <c r="E210" s="549"/>
      <c r="F210" s="549"/>
      <c r="G210" s="549"/>
      <c r="H210" s="549"/>
      <c r="I210" s="549"/>
      <c r="J210" s="549"/>
      <c r="K210" s="549"/>
      <c r="L210" s="549"/>
      <c r="M210" s="549"/>
      <c r="N210" s="549"/>
      <c r="O210" s="549"/>
      <c r="P210" s="549"/>
      <c r="Q210" s="549"/>
      <c r="R210" s="549"/>
      <c r="S210" s="549"/>
      <c r="T210" s="549"/>
      <c r="U210" s="549"/>
      <c r="V210" s="549"/>
      <c r="W210" s="549"/>
      <c r="X210" s="549"/>
      <c r="Y210" s="549"/>
      <c r="Z210" s="549"/>
      <c r="AA210" s="549"/>
      <c r="AB210" s="549"/>
      <c r="AC210" s="549"/>
      <c r="AD210" s="549"/>
      <c r="AE210" s="549"/>
      <c r="AF210" s="549"/>
    </row>
    <row r="211" spans="1:32" ht="15.75" customHeight="1">
      <c r="A211" s="549"/>
      <c r="B211" s="549"/>
      <c r="C211" s="549"/>
      <c r="D211" s="549"/>
      <c r="E211" s="549"/>
      <c r="F211" s="549"/>
      <c r="G211" s="549"/>
      <c r="H211" s="549"/>
      <c r="I211" s="549"/>
      <c r="J211" s="549"/>
      <c r="K211" s="549"/>
      <c r="L211" s="549"/>
      <c r="M211" s="549"/>
      <c r="N211" s="549"/>
      <c r="O211" s="549"/>
      <c r="P211" s="549"/>
      <c r="Q211" s="549"/>
      <c r="R211" s="549"/>
      <c r="S211" s="549"/>
      <c r="T211" s="549"/>
      <c r="U211" s="549"/>
      <c r="V211" s="549"/>
      <c r="W211" s="549"/>
      <c r="X211" s="549"/>
      <c r="Y211" s="549"/>
      <c r="Z211" s="549"/>
      <c r="AA211" s="549"/>
      <c r="AB211" s="549"/>
      <c r="AC211" s="549"/>
      <c r="AD211" s="549"/>
      <c r="AE211" s="549"/>
      <c r="AF211" s="549"/>
    </row>
    <row r="212" spans="1:32" ht="15.75" customHeight="1">
      <c r="A212" s="549"/>
      <c r="B212" s="549"/>
      <c r="C212" s="549"/>
      <c r="D212" s="549"/>
      <c r="E212" s="549"/>
      <c r="F212" s="549"/>
      <c r="G212" s="549"/>
      <c r="H212" s="549"/>
      <c r="I212" s="549"/>
      <c r="J212" s="549"/>
      <c r="K212" s="549"/>
      <c r="L212" s="549"/>
      <c r="M212" s="549"/>
      <c r="N212" s="549"/>
      <c r="O212" s="549"/>
      <c r="P212" s="549"/>
      <c r="Q212" s="549"/>
      <c r="R212" s="549"/>
      <c r="S212" s="549"/>
      <c r="T212" s="549"/>
      <c r="U212" s="549"/>
      <c r="V212" s="549"/>
      <c r="W212" s="549"/>
      <c r="X212" s="549"/>
      <c r="Y212" s="549"/>
      <c r="Z212" s="549"/>
      <c r="AA212" s="549"/>
      <c r="AB212" s="549"/>
      <c r="AC212" s="549"/>
      <c r="AD212" s="549"/>
      <c r="AE212" s="549"/>
      <c r="AF212" s="549"/>
    </row>
    <row r="213" spans="1:32" ht="15.75" customHeight="1">
      <c r="A213" s="549"/>
      <c r="B213" s="549"/>
      <c r="C213" s="549"/>
      <c r="D213" s="549"/>
      <c r="E213" s="549"/>
      <c r="F213" s="549"/>
      <c r="G213" s="549"/>
      <c r="H213" s="549"/>
      <c r="I213" s="549"/>
      <c r="J213" s="549"/>
      <c r="K213" s="549"/>
      <c r="L213" s="549"/>
      <c r="M213" s="549"/>
      <c r="N213" s="549"/>
      <c r="O213" s="549"/>
      <c r="P213" s="549"/>
      <c r="Q213" s="549"/>
      <c r="R213" s="549"/>
      <c r="S213" s="549"/>
      <c r="T213" s="549"/>
      <c r="U213" s="549"/>
      <c r="V213" s="549"/>
      <c r="W213" s="549"/>
      <c r="X213" s="549"/>
      <c r="Y213" s="549"/>
      <c r="Z213" s="549"/>
      <c r="AA213" s="549"/>
      <c r="AB213" s="549"/>
      <c r="AC213" s="549"/>
      <c r="AD213" s="549"/>
      <c r="AE213" s="549"/>
      <c r="AF213" s="549"/>
    </row>
    <row r="214" spans="1:32" ht="15.75" customHeight="1">
      <c r="A214" s="549"/>
      <c r="B214" s="549"/>
      <c r="C214" s="549"/>
      <c r="D214" s="549"/>
      <c r="E214" s="549"/>
      <c r="F214" s="549"/>
      <c r="G214" s="549"/>
      <c r="H214" s="549"/>
      <c r="I214" s="549"/>
      <c r="J214" s="549"/>
      <c r="K214" s="549"/>
      <c r="L214" s="549"/>
      <c r="M214" s="549"/>
      <c r="N214" s="549"/>
      <c r="O214" s="549"/>
      <c r="P214" s="549"/>
      <c r="Q214" s="549"/>
      <c r="R214" s="549"/>
      <c r="S214" s="549"/>
      <c r="T214" s="549"/>
      <c r="U214" s="549"/>
      <c r="V214" s="549"/>
      <c r="W214" s="549"/>
      <c r="X214" s="549"/>
      <c r="Y214" s="549"/>
      <c r="Z214" s="549"/>
      <c r="AA214" s="549"/>
      <c r="AB214" s="549"/>
      <c r="AC214" s="549"/>
      <c r="AD214" s="549"/>
      <c r="AE214" s="549"/>
      <c r="AF214" s="549"/>
    </row>
    <row r="215" spans="1:32" ht="15.75" customHeight="1">
      <c r="A215" s="549"/>
      <c r="B215" s="549"/>
      <c r="C215" s="549"/>
      <c r="D215" s="549"/>
      <c r="E215" s="549"/>
      <c r="F215" s="549"/>
      <c r="G215" s="549"/>
      <c r="H215" s="549"/>
      <c r="I215" s="549"/>
      <c r="J215" s="549"/>
      <c r="K215" s="549"/>
      <c r="L215" s="549"/>
      <c r="M215" s="549"/>
      <c r="N215" s="549"/>
      <c r="O215" s="549"/>
      <c r="P215" s="549"/>
      <c r="Q215" s="549"/>
      <c r="R215" s="549"/>
      <c r="S215" s="549"/>
      <c r="T215" s="549"/>
      <c r="U215" s="549"/>
      <c r="V215" s="549"/>
      <c r="W215" s="549"/>
      <c r="X215" s="549"/>
      <c r="Y215" s="549"/>
      <c r="Z215" s="549"/>
      <c r="AA215" s="549"/>
      <c r="AB215" s="549"/>
      <c r="AC215" s="549"/>
      <c r="AD215" s="549"/>
      <c r="AE215" s="549"/>
      <c r="AF215" s="549"/>
    </row>
    <row r="216" spans="1:32" ht="15.75" customHeight="1">
      <c r="A216" s="549"/>
      <c r="B216" s="549"/>
      <c r="C216" s="549"/>
      <c r="D216" s="549"/>
      <c r="E216" s="549"/>
      <c r="F216" s="549"/>
      <c r="G216" s="549"/>
      <c r="H216" s="549"/>
      <c r="I216" s="549"/>
      <c r="J216" s="549"/>
      <c r="K216" s="549"/>
      <c r="L216" s="549"/>
      <c r="M216" s="549"/>
      <c r="N216" s="549"/>
      <c r="O216" s="549"/>
      <c r="P216" s="549"/>
      <c r="Q216" s="549"/>
      <c r="R216" s="549"/>
      <c r="S216" s="549"/>
      <c r="T216" s="549"/>
      <c r="U216" s="549"/>
      <c r="V216" s="549"/>
      <c r="W216" s="549"/>
      <c r="X216" s="549"/>
      <c r="Y216" s="549"/>
      <c r="Z216" s="549"/>
      <c r="AA216" s="549"/>
      <c r="AB216" s="549"/>
      <c r="AC216" s="549"/>
      <c r="AD216" s="549"/>
      <c r="AE216" s="549"/>
      <c r="AF216" s="549"/>
    </row>
    <row r="217" spans="1:32" ht="15.75" customHeight="1">
      <c r="A217" s="549"/>
      <c r="B217" s="549"/>
      <c r="C217" s="549"/>
      <c r="D217" s="549"/>
      <c r="E217" s="549"/>
      <c r="F217" s="549"/>
      <c r="G217" s="549"/>
      <c r="H217" s="549"/>
      <c r="I217" s="549"/>
      <c r="J217" s="549"/>
      <c r="K217" s="549"/>
      <c r="L217" s="549"/>
      <c r="M217" s="549"/>
      <c r="N217" s="549"/>
      <c r="O217" s="549"/>
      <c r="P217" s="549"/>
      <c r="Q217" s="549"/>
      <c r="R217" s="549"/>
      <c r="S217" s="549"/>
      <c r="T217" s="549"/>
      <c r="U217" s="549"/>
      <c r="V217" s="549"/>
      <c r="W217" s="549"/>
      <c r="X217" s="549"/>
      <c r="Y217" s="549"/>
      <c r="Z217" s="549"/>
      <c r="AA217" s="549"/>
      <c r="AB217" s="549"/>
      <c r="AC217" s="549"/>
      <c r="AD217" s="549"/>
      <c r="AE217" s="549"/>
      <c r="AF217" s="549"/>
    </row>
    <row r="218" spans="1:32" ht="15.75" customHeight="1">
      <c r="A218" s="549"/>
      <c r="B218" s="549"/>
      <c r="C218" s="549"/>
      <c r="D218" s="549"/>
      <c r="E218" s="549"/>
      <c r="F218" s="549"/>
      <c r="G218" s="549"/>
      <c r="H218" s="549"/>
      <c r="I218" s="549"/>
      <c r="J218" s="549"/>
      <c r="K218" s="549"/>
      <c r="L218" s="549"/>
      <c r="M218" s="549"/>
      <c r="N218" s="549"/>
      <c r="O218" s="549"/>
      <c r="P218" s="549"/>
      <c r="Q218" s="549"/>
      <c r="R218" s="549"/>
      <c r="S218" s="549"/>
      <c r="T218" s="549"/>
      <c r="U218" s="549"/>
      <c r="V218" s="549"/>
      <c r="W218" s="549"/>
      <c r="X218" s="549"/>
      <c r="Y218" s="549"/>
      <c r="Z218" s="549"/>
      <c r="AA218" s="549"/>
      <c r="AB218" s="549"/>
      <c r="AC218" s="549"/>
      <c r="AD218" s="549"/>
      <c r="AE218" s="549"/>
      <c r="AF218" s="549"/>
    </row>
    <row r="219" spans="1:32" ht="15.75" customHeight="1">
      <c r="A219" s="549"/>
      <c r="B219" s="549"/>
      <c r="C219" s="549"/>
      <c r="D219" s="549"/>
      <c r="E219" s="549"/>
      <c r="F219" s="549"/>
      <c r="G219" s="549"/>
      <c r="H219" s="549"/>
      <c r="I219" s="549"/>
      <c r="J219" s="549"/>
      <c r="K219" s="549"/>
      <c r="L219" s="549"/>
      <c r="M219" s="549"/>
      <c r="N219" s="549"/>
      <c r="O219" s="549"/>
      <c r="P219" s="549"/>
      <c r="Q219" s="549"/>
      <c r="R219" s="549"/>
      <c r="S219" s="549"/>
      <c r="T219" s="549"/>
      <c r="U219" s="549"/>
      <c r="V219" s="549"/>
      <c r="W219" s="549"/>
      <c r="X219" s="549"/>
      <c r="Y219" s="549"/>
      <c r="Z219" s="549"/>
      <c r="AA219" s="549"/>
      <c r="AB219" s="549"/>
      <c r="AC219" s="549"/>
      <c r="AD219" s="549"/>
      <c r="AE219" s="549"/>
      <c r="AF219" s="549"/>
    </row>
    <row r="220" spans="1:32" ht="15.75" customHeight="1">
      <c r="A220" s="549"/>
      <c r="B220" s="549"/>
      <c r="C220" s="549"/>
      <c r="D220" s="549"/>
      <c r="E220" s="549"/>
      <c r="F220" s="549"/>
      <c r="G220" s="549"/>
      <c r="H220" s="549"/>
      <c r="I220" s="549"/>
      <c r="J220" s="549"/>
      <c r="K220" s="549"/>
      <c r="L220" s="549"/>
      <c r="M220" s="549"/>
      <c r="N220" s="549"/>
      <c r="O220" s="549"/>
      <c r="P220" s="549"/>
      <c r="Q220" s="549"/>
      <c r="R220" s="549"/>
      <c r="S220" s="549"/>
      <c r="T220" s="549"/>
      <c r="U220" s="549"/>
      <c r="V220" s="549"/>
      <c r="W220" s="549"/>
      <c r="X220" s="549"/>
      <c r="Y220" s="549"/>
      <c r="Z220" s="549"/>
      <c r="AA220" s="549"/>
      <c r="AB220" s="549"/>
      <c r="AC220" s="549"/>
      <c r="AD220" s="549"/>
      <c r="AE220" s="549"/>
      <c r="AF220" s="549"/>
    </row>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B17:C17"/>
    <mergeCell ref="D17:E17"/>
    <mergeCell ref="B14:C14"/>
    <mergeCell ref="D14:E14"/>
    <mergeCell ref="B15:C15"/>
    <mergeCell ref="D15:E15"/>
    <mergeCell ref="B16:C16"/>
    <mergeCell ref="D16:E16"/>
    <mergeCell ref="Q5:T5"/>
    <mergeCell ref="U5:X5"/>
    <mergeCell ref="C8:I8"/>
    <mergeCell ref="B9:G9"/>
    <mergeCell ref="B10:L10"/>
    <mergeCell ref="J5:L5"/>
    <mergeCell ref="M5:P5"/>
    <mergeCell ref="B12:G12"/>
    <mergeCell ref="B2:H2"/>
    <mergeCell ref="B5:B6"/>
    <mergeCell ref="C5:E5"/>
    <mergeCell ref="F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30821-5C29-4937-99FE-0839D644AD26}">
  <dimension ref="A1:Z554"/>
  <sheetViews>
    <sheetView tabSelected="1" topLeftCell="B1" workbookViewId="0">
      <selection activeCell="J16" sqref="J16"/>
    </sheetView>
  </sheetViews>
  <sheetFormatPr defaultColWidth="8.88671875" defaultRowHeight="14.4"/>
  <cols>
    <col min="1" max="1" width="11" style="2" bestFit="1" customWidth="1"/>
    <col min="2" max="2" width="19.44140625" style="2" bestFit="1" customWidth="1"/>
    <col min="3" max="3" width="13.44140625" style="2" bestFit="1" customWidth="1"/>
    <col min="4" max="4" width="23.109375" style="2" bestFit="1" customWidth="1"/>
    <col min="5" max="5" width="16.21875" style="2" bestFit="1" customWidth="1"/>
    <col min="6" max="6" width="9.77734375" style="2" bestFit="1" customWidth="1"/>
    <col min="7" max="7" width="20.109375" style="2" bestFit="1" customWidth="1"/>
    <col min="8" max="26" width="16.44140625" style="2" bestFit="1" customWidth="1"/>
    <col min="27" max="16384" width="8.88671875" style="2"/>
  </cols>
  <sheetData>
    <row r="1" spans="1:26" s="1" customFormat="1" ht="31.8" customHeight="1">
      <c r="A1" s="1" t="s">
        <v>3</v>
      </c>
      <c r="B1" s="1" t="s">
        <v>4</v>
      </c>
      <c r="C1" s="1" t="s">
        <v>5</v>
      </c>
      <c r="D1" s="1" t="s">
        <v>6</v>
      </c>
      <c r="E1" s="1" t="s">
        <v>7</v>
      </c>
      <c r="F1" s="1" t="s">
        <v>8</v>
      </c>
      <c r="G1" s="1" t="s">
        <v>9</v>
      </c>
      <c r="H1" s="1">
        <v>2005</v>
      </c>
      <c r="I1" s="1">
        <v>2006</v>
      </c>
      <c r="J1" s="1">
        <v>2007</v>
      </c>
      <c r="K1" s="1">
        <v>2008</v>
      </c>
      <c r="L1" s="1">
        <v>2009</v>
      </c>
      <c r="M1" s="1">
        <v>2010</v>
      </c>
      <c r="N1" s="1">
        <v>2011</v>
      </c>
      <c r="O1" s="1">
        <v>2012</v>
      </c>
      <c r="P1" s="1">
        <v>2013</v>
      </c>
      <c r="Q1" s="1">
        <v>2014</v>
      </c>
      <c r="R1" s="1">
        <v>2015</v>
      </c>
      <c r="S1" s="1">
        <v>2016</v>
      </c>
      <c r="T1" s="1">
        <v>2017</v>
      </c>
      <c r="U1" s="1">
        <v>2018</v>
      </c>
      <c r="V1" s="1">
        <v>2019</v>
      </c>
      <c r="W1" s="1">
        <v>2020</v>
      </c>
      <c r="X1" s="1">
        <v>2021</v>
      </c>
      <c r="Y1" s="1">
        <v>2022</v>
      </c>
      <c r="Z1" s="1">
        <v>2023</v>
      </c>
    </row>
    <row r="2" spans="1:26" ht="19.95" customHeight="1">
      <c r="A2" s="3" t="s">
        <v>10</v>
      </c>
      <c r="B2" s="3" t="s">
        <v>11</v>
      </c>
      <c r="C2" s="3" t="s">
        <v>15</v>
      </c>
      <c r="D2" s="3" t="s">
        <v>12</v>
      </c>
      <c r="E2" s="4" t="s">
        <v>13</v>
      </c>
      <c r="F2" s="3" t="s">
        <v>0</v>
      </c>
      <c r="G2" s="3" t="s">
        <v>10</v>
      </c>
      <c r="H2" s="774">
        <f>Petroleum!D89</f>
        <v>379.59173845588231</v>
      </c>
      <c r="I2" s="774">
        <f>Petroleum!E89</f>
        <v>401.37126239569085</v>
      </c>
      <c r="J2" s="774">
        <f>Petroleum!F89</f>
        <v>424.0402965954172</v>
      </c>
      <c r="K2" s="774">
        <f>Petroleum!G89</f>
        <v>370.84488756668941</v>
      </c>
      <c r="L2" s="774">
        <f>Petroleum!H89</f>
        <v>386.73477539158682</v>
      </c>
      <c r="M2" s="774">
        <f>Petroleum!I89</f>
        <v>426.84360165697672</v>
      </c>
      <c r="N2" s="774">
        <f>Petroleum!J89</f>
        <v>458.09775760772908</v>
      </c>
      <c r="O2" s="774">
        <f>Petroleum!K89</f>
        <v>488.83977128761961</v>
      </c>
      <c r="P2" s="774">
        <f>Petroleum!L89</f>
        <v>508.67854556942541</v>
      </c>
      <c r="Q2" s="774">
        <f>Petroleum!M89</f>
        <v>524.52800110978103</v>
      </c>
      <c r="R2" s="774">
        <f>Petroleum!N89</f>
        <v>543.03251000170997</v>
      </c>
      <c r="S2" s="774">
        <f>Petroleum!O89</f>
        <v>589.57006950923392</v>
      </c>
      <c r="T2" s="774">
        <f>Petroleum!P89</f>
        <v>682.79344023426802</v>
      </c>
      <c r="U2" s="774">
        <f>Petroleum!Q89</f>
        <v>779.42660028898752</v>
      </c>
      <c r="V2" s="774">
        <f>Petroleum!R89</f>
        <v>832.86460302496573</v>
      </c>
      <c r="W2" s="774">
        <f>Petroleum!S89</f>
        <v>719.19597374999989</v>
      </c>
      <c r="X2" s="774">
        <f>Petroleum!T89</f>
        <v>750.26144570622421</v>
      </c>
      <c r="Y2" s="774">
        <f>Petroleum!U89</f>
        <v>795.48483857734232</v>
      </c>
      <c r="Z2" s="774">
        <f>Petroleum!V89</f>
        <v>824.42096586129423</v>
      </c>
    </row>
    <row r="3" spans="1:26" ht="19.95" customHeight="1">
      <c r="A3" s="3" t="s">
        <v>10</v>
      </c>
      <c r="B3" s="3" t="s">
        <v>11</v>
      </c>
      <c r="C3" s="3" t="s">
        <v>15</v>
      </c>
      <c r="D3" s="3" t="s">
        <v>12</v>
      </c>
      <c r="E3" s="4" t="s">
        <v>25</v>
      </c>
      <c r="F3" s="3" t="s">
        <v>0</v>
      </c>
      <c r="G3" s="3" t="s">
        <v>10</v>
      </c>
      <c r="H3" s="774">
        <f>Petroleum!D92</f>
        <v>7971.4265075735284</v>
      </c>
      <c r="I3" s="774">
        <f>Petroleum!E92</f>
        <v>8428.7965103095084</v>
      </c>
      <c r="J3" s="774">
        <f>Petroleum!F92</f>
        <v>8904.8462285037604</v>
      </c>
      <c r="K3" s="774">
        <f>Petroleum!G92</f>
        <v>7787.7426389004777</v>
      </c>
      <c r="L3" s="774">
        <f>Petroleum!H92</f>
        <v>8121.4302832233234</v>
      </c>
      <c r="M3" s="774">
        <f>Petroleum!I92</f>
        <v>8963.7156347965101</v>
      </c>
      <c r="N3" s="774">
        <f>Petroleum!J92</f>
        <v>9620.0529097623112</v>
      </c>
      <c r="O3" s="774">
        <f>Petroleum!K92</f>
        <v>10265.635197040012</v>
      </c>
      <c r="P3" s="774">
        <f>Petroleum!L92</f>
        <v>10682.249456957934</v>
      </c>
      <c r="Q3" s="774">
        <f>Petroleum!M92</f>
        <v>11015.088023305401</v>
      </c>
      <c r="R3" s="774">
        <f>Petroleum!N92</f>
        <v>11403.68271003591</v>
      </c>
      <c r="S3" s="774">
        <f>Petroleum!O92</f>
        <v>12380.971459693912</v>
      </c>
      <c r="T3" s="774">
        <f>Petroleum!P92</f>
        <v>14338.662244919629</v>
      </c>
      <c r="U3" s="774">
        <f>Petroleum!Q92</f>
        <v>16367.958606068738</v>
      </c>
      <c r="V3" s="774">
        <f>Petroleum!R92</f>
        <v>17490.156663524282</v>
      </c>
      <c r="W3" s="774">
        <f>Petroleum!S92</f>
        <v>15103.115448749997</v>
      </c>
      <c r="X3" s="774">
        <f>Petroleum!T92</f>
        <v>15755.490359830708</v>
      </c>
      <c r="Y3" s="774">
        <f>Petroleum!U92</f>
        <v>16705.181610124189</v>
      </c>
      <c r="Z3" s="774">
        <f>Petroleum!V92</f>
        <v>17312.840283087178</v>
      </c>
    </row>
    <row r="4" spans="1:26" ht="19.95" customHeight="1">
      <c r="A4" s="3" t="s">
        <v>10</v>
      </c>
      <c r="B4" s="3" t="s">
        <v>11</v>
      </c>
      <c r="C4" s="3" t="s">
        <v>15</v>
      </c>
      <c r="D4" s="3" t="s">
        <v>12</v>
      </c>
      <c r="E4" s="4" t="s">
        <v>26</v>
      </c>
      <c r="F4" s="3" t="s">
        <v>0</v>
      </c>
      <c r="G4" s="3" t="s">
        <v>10</v>
      </c>
      <c r="H4" s="774">
        <f>Petroleum!D95</f>
        <v>10590.609502919116</v>
      </c>
      <c r="I4" s="774">
        <f>Petroleum!E95</f>
        <v>11198.258220839774</v>
      </c>
      <c r="J4" s="774">
        <f>Petroleum!F95</f>
        <v>11830.724275012139</v>
      </c>
      <c r="K4" s="774">
        <f>Petroleum!G95</f>
        <v>10346.572363110634</v>
      </c>
      <c r="L4" s="774">
        <f>Petroleum!H95</f>
        <v>10789.900233425271</v>
      </c>
      <c r="M4" s="774">
        <f>Petroleum!I95</f>
        <v>11908.93648622965</v>
      </c>
      <c r="N4" s="774">
        <f>Petroleum!J95</f>
        <v>12780.927437255641</v>
      </c>
      <c r="O4" s="774">
        <f>Petroleum!K95</f>
        <v>13638.629618924586</v>
      </c>
      <c r="P4" s="774">
        <f>Petroleum!L95</f>
        <v>14192.131421386968</v>
      </c>
      <c r="Q4" s="774">
        <f>Petroleum!M95</f>
        <v>14634.331230962889</v>
      </c>
      <c r="R4" s="774">
        <f>Petroleum!N95</f>
        <v>15150.607029047707</v>
      </c>
      <c r="S4" s="774">
        <f>Petroleum!O95</f>
        <v>16449.004939307626</v>
      </c>
      <c r="T4" s="774">
        <f>Petroleum!P95</f>
        <v>19049.936982536077</v>
      </c>
      <c r="U4" s="774">
        <f>Petroleum!Q95</f>
        <v>21746.002148062751</v>
      </c>
      <c r="V4" s="774">
        <f>Petroleum!R95</f>
        <v>23236.922424396544</v>
      </c>
      <c r="W4" s="774">
        <f>Petroleum!S95</f>
        <v>20065.567667624997</v>
      </c>
      <c r="X4" s="774">
        <f>Petroleum!T95</f>
        <v>20932.294335203653</v>
      </c>
      <c r="Y4" s="774">
        <f>Petroleum!U95</f>
        <v>22194.02699630785</v>
      </c>
      <c r="Z4" s="774">
        <f>Petroleum!V95</f>
        <v>23001.344947530109</v>
      </c>
    </row>
    <row r="5" spans="1:26" ht="19.95" customHeight="1">
      <c r="A5" s="3" t="s">
        <v>10</v>
      </c>
      <c r="B5" s="3" t="s">
        <v>11</v>
      </c>
      <c r="C5" s="3" t="s">
        <v>15</v>
      </c>
      <c r="D5" s="3" t="s">
        <v>12</v>
      </c>
      <c r="E5" s="4" t="s">
        <v>27</v>
      </c>
      <c r="F5" s="3" t="s">
        <v>0</v>
      </c>
      <c r="G5" s="3" t="s">
        <v>10</v>
      </c>
      <c r="H5" s="774">
        <f>Petroleum!D99</f>
        <v>2042.2035528926467</v>
      </c>
      <c r="I5" s="774">
        <f>Petroleum!E99</f>
        <v>2159.3773916888167</v>
      </c>
      <c r="J5" s="774">
        <f>Petroleum!F99</f>
        <v>2281.3367956833445</v>
      </c>
      <c r="K5" s="774">
        <f>Petroleum!G99</f>
        <v>1995.145495108789</v>
      </c>
      <c r="L5" s="774">
        <f>Petroleum!H99</f>
        <v>2080.6330916067373</v>
      </c>
      <c r="M5" s="774">
        <f>Petroleum!I99</f>
        <v>2296.4185769145347</v>
      </c>
      <c r="N5" s="774">
        <f>Petroleum!J99</f>
        <v>2464.5659359295823</v>
      </c>
      <c r="O5" s="774">
        <f>Petroleum!K99</f>
        <v>2629.9579695273933</v>
      </c>
      <c r="P5" s="774">
        <f>Petroleum!L99</f>
        <v>2736.6905751635086</v>
      </c>
      <c r="Q5" s="774">
        <f>Petroleum!M99</f>
        <v>2821.960645970622</v>
      </c>
      <c r="R5" s="774">
        <f>Petroleum!N99</f>
        <v>2921.5149038091995</v>
      </c>
      <c r="S5" s="774">
        <f>Petroleum!O99</f>
        <v>3171.8869739596785</v>
      </c>
      <c r="T5" s="774">
        <f>Petroleum!P99</f>
        <v>3673.428708460362</v>
      </c>
      <c r="U5" s="774">
        <f>Petroleum!Q99</f>
        <v>4193.3151095547528</v>
      </c>
      <c r="V5" s="774">
        <f>Petroleum!R99</f>
        <v>4480.811564274316</v>
      </c>
      <c r="W5" s="774">
        <f>Petroleum!S99</f>
        <v>3869.2743387749993</v>
      </c>
      <c r="X5" s="774">
        <f>Petroleum!T99</f>
        <v>4036.4065778994864</v>
      </c>
      <c r="Y5" s="774">
        <f>Petroleum!U99</f>
        <v>4279.7084315461016</v>
      </c>
      <c r="Z5" s="774">
        <f>Petroleum!V99</f>
        <v>4435.384796333763</v>
      </c>
    </row>
    <row r="6" spans="1:26" ht="19.95" customHeight="1">
      <c r="A6" s="3" t="s">
        <v>10</v>
      </c>
      <c r="B6" s="3" t="s">
        <v>11</v>
      </c>
      <c r="C6" s="3" t="s">
        <v>16</v>
      </c>
      <c r="D6" s="3" t="s">
        <v>12</v>
      </c>
      <c r="E6" s="4" t="s">
        <v>13</v>
      </c>
      <c r="F6" s="3" t="s">
        <v>0</v>
      </c>
      <c r="G6" s="3" t="s">
        <v>10</v>
      </c>
      <c r="H6" s="774">
        <f>Dairy!D89</f>
        <v>64.858153062500008</v>
      </c>
      <c r="I6" s="774">
        <f>Dairy!E89</f>
        <v>64.858153062500008</v>
      </c>
      <c r="J6" s="774">
        <f>Dairy!F89</f>
        <v>64.858153062500008</v>
      </c>
      <c r="K6" s="774">
        <f>Dairy!G89</f>
        <v>64.858153062500008</v>
      </c>
      <c r="L6" s="774">
        <f>Dairy!H89</f>
        <v>64.858153062500008</v>
      </c>
      <c r="M6" s="774">
        <f>Dairy!I89</f>
        <v>64.858153062500008</v>
      </c>
      <c r="N6" s="774">
        <f>Dairy!J89</f>
        <v>64.858153062500008</v>
      </c>
      <c r="O6" s="774">
        <f>Dairy!K89</f>
        <v>64.858153062500008</v>
      </c>
      <c r="P6" s="774">
        <f>Dairy!L89</f>
        <v>64.858153062500008</v>
      </c>
      <c r="Q6" s="774">
        <f>Dairy!M89</f>
        <v>64.858153062500008</v>
      </c>
      <c r="R6" s="774">
        <f>Dairy!N89</f>
        <v>64.858153062500008</v>
      </c>
      <c r="S6" s="774">
        <f>Dairy!O89</f>
        <v>64.858153062500008</v>
      </c>
      <c r="T6" s="774">
        <f>Dairy!P89</f>
        <v>64.858153062500008</v>
      </c>
      <c r="U6" s="774">
        <f>Dairy!Q89</f>
        <v>64.858153062500008</v>
      </c>
      <c r="V6" s="774">
        <f>Dairy!R89</f>
        <v>64.858153062500008</v>
      </c>
      <c r="W6" s="774">
        <f>Dairy!S89</f>
        <v>64.858153062500008</v>
      </c>
      <c r="X6" s="774">
        <f>Dairy!T89</f>
        <v>64.858153062500008</v>
      </c>
      <c r="Y6" s="774">
        <f>Dairy!U89</f>
        <v>64.858153062500008</v>
      </c>
      <c r="Z6" s="774">
        <f>Dairy!V89</f>
        <v>64.858153062500008</v>
      </c>
    </row>
    <row r="7" spans="1:26" ht="19.95" customHeight="1">
      <c r="A7" s="3" t="s">
        <v>10</v>
      </c>
      <c r="B7" s="3" t="s">
        <v>11</v>
      </c>
      <c r="C7" s="3" t="s">
        <v>16</v>
      </c>
      <c r="D7" s="3" t="s">
        <v>12</v>
      </c>
      <c r="E7" s="4" t="s">
        <v>25</v>
      </c>
      <c r="F7" s="3" t="s">
        <v>0</v>
      </c>
      <c r="G7" s="3" t="s">
        <v>10</v>
      </c>
      <c r="H7" s="774">
        <f>Dairy!D93</f>
        <v>1362.0212143125002</v>
      </c>
      <c r="I7" s="774">
        <f>Dairy!E93</f>
        <v>1362.0212143125002</v>
      </c>
      <c r="J7" s="774">
        <f>Dairy!F93</f>
        <v>1362.0212143125002</v>
      </c>
      <c r="K7" s="774">
        <f>Dairy!G93</f>
        <v>1362.0212143125002</v>
      </c>
      <c r="L7" s="774">
        <f>Dairy!H93</f>
        <v>1362.0212143125002</v>
      </c>
      <c r="M7" s="774">
        <f>Dairy!I93</f>
        <v>1362.0212143125002</v>
      </c>
      <c r="N7" s="774">
        <f>Dairy!J93</f>
        <v>1362.0212143125002</v>
      </c>
      <c r="O7" s="774">
        <f>Dairy!K93</f>
        <v>1362.0212143125002</v>
      </c>
      <c r="P7" s="774">
        <f>Dairy!L93</f>
        <v>1362.0212143125002</v>
      </c>
      <c r="Q7" s="774">
        <f>Dairy!M93</f>
        <v>1362.0212143125002</v>
      </c>
      <c r="R7" s="774">
        <f>Dairy!N93</f>
        <v>1362.0212143125002</v>
      </c>
      <c r="S7" s="774">
        <f>Dairy!O93</f>
        <v>1362.0212143125002</v>
      </c>
      <c r="T7" s="774">
        <f>Dairy!P93</f>
        <v>1362.0212143125002</v>
      </c>
      <c r="U7" s="774">
        <f>Dairy!Q93</f>
        <v>1362.0212143125002</v>
      </c>
      <c r="V7" s="774">
        <f>Dairy!R93</f>
        <v>1362.0212143125002</v>
      </c>
      <c r="W7" s="774">
        <f>Dairy!S93</f>
        <v>1362.0212143125002</v>
      </c>
      <c r="X7" s="774">
        <f>Dairy!T93</f>
        <v>1362.0212143125002</v>
      </c>
      <c r="Y7" s="774">
        <f>Dairy!U93</f>
        <v>1362.0212143125002</v>
      </c>
      <c r="Z7" s="774">
        <f>Dairy!V93</f>
        <v>1362.0212143125002</v>
      </c>
    </row>
    <row r="8" spans="1:26" ht="19.95" customHeight="1">
      <c r="A8" s="3" t="s">
        <v>10</v>
      </c>
      <c r="B8" s="3" t="s">
        <v>11</v>
      </c>
      <c r="C8" s="3" t="s">
        <v>16</v>
      </c>
      <c r="D8" s="3" t="s">
        <v>12</v>
      </c>
      <c r="E8" s="4" t="s">
        <v>26</v>
      </c>
      <c r="F8" s="3" t="s">
        <v>0</v>
      </c>
      <c r="G8" s="3" t="s">
        <v>10</v>
      </c>
      <c r="H8" s="774">
        <f>Dairy!D97</f>
        <v>1809.5424704437501</v>
      </c>
      <c r="I8" s="774">
        <f>Dairy!E97</f>
        <v>1809.5424704437501</v>
      </c>
      <c r="J8" s="774">
        <f>Dairy!F97</f>
        <v>1809.5424704437501</v>
      </c>
      <c r="K8" s="774">
        <f>Dairy!G97</f>
        <v>1809.5424704437501</v>
      </c>
      <c r="L8" s="774">
        <f>Dairy!H97</f>
        <v>1809.5424704437501</v>
      </c>
      <c r="M8" s="774">
        <f>Dairy!I97</f>
        <v>1809.5424704437501</v>
      </c>
      <c r="N8" s="774">
        <f>Dairy!J97</f>
        <v>1809.5424704437501</v>
      </c>
      <c r="O8" s="774">
        <f>Dairy!K97</f>
        <v>1809.5424704437501</v>
      </c>
      <c r="P8" s="774">
        <f>Dairy!L97</f>
        <v>1809.5424704437501</v>
      </c>
      <c r="Q8" s="774">
        <f>Dairy!M97</f>
        <v>1809.5424704437501</v>
      </c>
      <c r="R8" s="774">
        <f>Dairy!N97</f>
        <v>1809.5424704437501</v>
      </c>
      <c r="S8" s="774">
        <f>Dairy!O97</f>
        <v>1809.5424704437501</v>
      </c>
      <c r="T8" s="774">
        <f>Dairy!P97</f>
        <v>1809.5424704437501</v>
      </c>
      <c r="U8" s="774">
        <f>Dairy!Q97</f>
        <v>1809.5424704437501</v>
      </c>
      <c r="V8" s="774">
        <f>Dairy!R97</f>
        <v>1809.5424704437501</v>
      </c>
      <c r="W8" s="774">
        <f>Dairy!S97</f>
        <v>1809.5424704437501</v>
      </c>
      <c r="X8" s="774">
        <f>Dairy!T97</f>
        <v>1809.5424704437501</v>
      </c>
      <c r="Y8" s="774">
        <f>Dairy!U97</f>
        <v>1809.5424704437501</v>
      </c>
      <c r="Z8" s="774">
        <f>Dairy!V97</f>
        <v>1809.5424704437501</v>
      </c>
    </row>
    <row r="9" spans="1:26" ht="19.95" customHeight="1">
      <c r="A9" s="3" t="s">
        <v>10</v>
      </c>
      <c r="B9" s="3" t="s">
        <v>11</v>
      </c>
      <c r="C9" s="3" t="s">
        <v>16</v>
      </c>
      <c r="D9" s="3" t="s">
        <v>12</v>
      </c>
      <c r="E9" s="4" t="s">
        <v>27</v>
      </c>
      <c r="F9" s="3" t="s">
        <v>0</v>
      </c>
      <c r="G9" s="3" t="s">
        <v>10</v>
      </c>
      <c r="H9" s="774">
        <f>Dairy!D101</f>
        <v>348.93686347625004</v>
      </c>
      <c r="I9" s="774">
        <f>Dairy!E101</f>
        <v>348.93686347625004</v>
      </c>
      <c r="J9" s="774">
        <f>Dairy!F101</f>
        <v>348.93686347625004</v>
      </c>
      <c r="K9" s="774">
        <f>Dairy!G101</f>
        <v>348.93686347625004</v>
      </c>
      <c r="L9" s="774">
        <f>Dairy!H101</f>
        <v>348.93686347625004</v>
      </c>
      <c r="M9" s="774">
        <f>Dairy!I101</f>
        <v>348.93686347625004</v>
      </c>
      <c r="N9" s="774">
        <f>Dairy!J101</f>
        <v>348.93686347625004</v>
      </c>
      <c r="O9" s="774">
        <f>Dairy!K101</f>
        <v>348.93686347625004</v>
      </c>
      <c r="P9" s="774">
        <f>Dairy!L101</f>
        <v>348.93686347625004</v>
      </c>
      <c r="Q9" s="774">
        <f>Dairy!M101</f>
        <v>348.93686347625004</v>
      </c>
      <c r="R9" s="774">
        <f>Dairy!N101</f>
        <v>348.93686347625004</v>
      </c>
      <c r="S9" s="774">
        <f>Dairy!O101</f>
        <v>348.93686347625004</v>
      </c>
      <c r="T9" s="774">
        <f>Dairy!P101</f>
        <v>348.93686347625004</v>
      </c>
      <c r="U9" s="774">
        <f>Dairy!Q101</f>
        <v>348.93686347625004</v>
      </c>
      <c r="V9" s="774">
        <f>Dairy!R101</f>
        <v>348.93686347625004</v>
      </c>
      <c r="W9" s="774">
        <f>Dairy!S101</f>
        <v>348.93686347625004</v>
      </c>
      <c r="X9" s="774">
        <f>Dairy!T101</f>
        <v>348.93686347625004</v>
      </c>
      <c r="Y9" s="774">
        <f>Dairy!U101</f>
        <v>348.93686347625004</v>
      </c>
      <c r="Z9" s="774">
        <f>Dairy!V101</f>
        <v>348.93686347625004</v>
      </c>
    </row>
    <row r="10" spans="1:26" ht="19.95" customHeight="1">
      <c r="A10" s="3" t="s">
        <v>10</v>
      </c>
      <c r="B10" s="3" t="s">
        <v>11</v>
      </c>
      <c r="C10" s="3" t="s">
        <v>17</v>
      </c>
      <c r="D10" s="3" t="s">
        <v>12</v>
      </c>
      <c r="E10" s="4" t="s">
        <v>13</v>
      </c>
      <c r="F10" s="3" t="s">
        <v>0</v>
      </c>
      <c r="G10" s="3" t="s">
        <v>10</v>
      </c>
      <c r="H10" s="774">
        <f>Meat!D83</f>
        <v>0.62543000000000004</v>
      </c>
      <c r="I10" s="774">
        <f>Meat!E83</f>
        <v>0.62543000000000004</v>
      </c>
      <c r="J10" s="774">
        <f>Meat!F83</f>
        <v>0.62543000000000004</v>
      </c>
      <c r="K10" s="774">
        <f>Meat!G83</f>
        <v>0.62543000000000004</v>
      </c>
      <c r="L10" s="774">
        <f>Meat!H83</f>
        <v>0.62543000000000004</v>
      </c>
      <c r="M10" s="774">
        <f>Meat!I83</f>
        <v>0.62543000000000004</v>
      </c>
      <c r="N10" s="774">
        <f>Meat!J83</f>
        <v>0.62543000000000004</v>
      </c>
      <c r="O10" s="774">
        <f>Meat!K83</f>
        <v>0.62543000000000004</v>
      </c>
      <c r="P10" s="774">
        <f>Meat!L83</f>
        <v>0.62543000000000004</v>
      </c>
      <c r="Q10" s="774">
        <f>Meat!M83</f>
        <v>0.62543000000000004</v>
      </c>
      <c r="R10" s="774">
        <f>Meat!N83</f>
        <v>0.62543000000000004</v>
      </c>
      <c r="S10" s="774">
        <f>Meat!O83</f>
        <v>0.62543000000000004</v>
      </c>
      <c r="T10" s="774">
        <f>Meat!P83</f>
        <v>0.62543000000000004</v>
      </c>
      <c r="U10" s="774">
        <f>Meat!Q83</f>
        <v>0.62543000000000004</v>
      </c>
      <c r="V10" s="774">
        <f>Meat!R83</f>
        <v>0.62543000000000004</v>
      </c>
      <c r="W10" s="774">
        <f>Meat!S83</f>
        <v>0.62543000000000004</v>
      </c>
      <c r="X10" s="774">
        <f>Meat!T83</f>
        <v>0.62543000000000004</v>
      </c>
      <c r="Y10" s="774">
        <f>Meat!U83</f>
        <v>0.62543000000000004</v>
      </c>
      <c r="Z10" s="774">
        <f>Meat!V83</f>
        <v>0.62543000000000004</v>
      </c>
    </row>
    <row r="11" spans="1:26" ht="19.95" customHeight="1">
      <c r="A11" s="3" t="s">
        <v>10</v>
      </c>
      <c r="B11" s="3" t="s">
        <v>11</v>
      </c>
      <c r="C11" s="3" t="s">
        <v>17</v>
      </c>
      <c r="D11" s="3" t="s">
        <v>12</v>
      </c>
      <c r="E11" s="4" t="s">
        <v>25</v>
      </c>
      <c r="F11" s="3" t="s">
        <v>0</v>
      </c>
      <c r="G11" s="3" t="s">
        <v>10</v>
      </c>
      <c r="H11" s="774">
        <f>Meat!D86</f>
        <v>13.134030000000001</v>
      </c>
      <c r="I11" s="774">
        <f>Meat!E86</f>
        <v>13.134030000000001</v>
      </c>
      <c r="J11" s="774">
        <f>Meat!F86</f>
        <v>13.134030000000001</v>
      </c>
      <c r="K11" s="774">
        <f>Meat!G86</f>
        <v>13.134030000000001</v>
      </c>
      <c r="L11" s="774">
        <f>Meat!H86</f>
        <v>13.134030000000001</v>
      </c>
      <c r="M11" s="774">
        <f>Meat!I86</f>
        <v>13.134030000000001</v>
      </c>
      <c r="N11" s="774">
        <f>Meat!J86</f>
        <v>13.134030000000001</v>
      </c>
      <c r="O11" s="774">
        <f>Meat!K86</f>
        <v>13.134030000000001</v>
      </c>
      <c r="P11" s="774">
        <f>Meat!L86</f>
        <v>13.134030000000001</v>
      </c>
      <c r="Q11" s="774">
        <f>Meat!M86</f>
        <v>13.134030000000001</v>
      </c>
      <c r="R11" s="774">
        <f>Meat!N86</f>
        <v>13.134030000000001</v>
      </c>
      <c r="S11" s="774">
        <f>Meat!O86</f>
        <v>13.134030000000001</v>
      </c>
      <c r="T11" s="774">
        <f>Meat!P86</f>
        <v>13.134030000000001</v>
      </c>
      <c r="U11" s="774">
        <f>Meat!Q86</f>
        <v>13.134030000000001</v>
      </c>
      <c r="V11" s="774">
        <f>Meat!R86</f>
        <v>13.134030000000001</v>
      </c>
      <c r="W11" s="774">
        <f>Meat!S86</f>
        <v>13.134030000000001</v>
      </c>
      <c r="X11" s="774">
        <f>Meat!T86</f>
        <v>13.134030000000001</v>
      </c>
      <c r="Y11" s="774">
        <f>Meat!U86</f>
        <v>13.134030000000001</v>
      </c>
      <c r="Z11" s="774">
        <f>Meat!V86</f>
        <v>13.134030000000001</v>
      </c>
    </row>
    <row r="12" spans="1:26" ht="19.95" customHeight="1">
      <c r="A12" s="3" t="s">
        <v>10</v>
      </c>
      <c r="B12" s="3" t="s">
        <v>11</v>
      </c>
      <c r="C12" s="3" t="s">
        <v>17</v>
      </c>
      <c r="D12" s="3" t="s">
        <v>12</v>
      </c>
      <c r="E12" s="4" t="s">
        <v>26</v>
      </c>
      <c r="F12" s="3" t="s">
        <v>0</v>
      </c>
      <c r="G12" s="3" t="s">
        <v>10</v>
      </c>
      <c r="H12" s="774">
        <f>Meat!D89</f>
        <v>17.449497000000001</v>
      </c>
      <c r="I12" s="774">
        <f>Meat!E89</f>
        <v>17.449497000000001</v>
      </c>
      <c r="J12" s="774">
        <f>Meat!F89</f>
        <v>17.449497000000001</v>
      </c>
      <c r="K12" s="774">
        <f>Meat!G89</f>
        <v>17.449497000000001</v>
      </c>
      <c r="L12" s="774">
        <f>Meat!H89</f>
        <v>17.449497000000001</v>
      </c>
      <c r="M12" s="774">
        <f>Meat!I89</f>
        <v>17.449497000000001</v>
      </c>
      <c r="N12" s="774">
        <f>Meat!J89</f>
        <v>17.449497000000001</v>
      </c>
      <c r="O12" s="774">
        <f>Meat!K89</f>
        <v>17.449497000000001</v>
      </c>
      <c r="P12" s="774">
        <f>Meat!L89</f>
        <v>17.449497000000001</v>
      </c>
      <c r="Q12" s="774">
        <f>Meat!M89</f>
        <v>17.449497000000001</v>
      </c>
      <c r="R12" s="774">
        <f>Meat!N89</f>
        <v>17.449497000000001</v>
      </c>
      <c r="S12" s="774">
        <f>Meat!O89</f>
        <v>17.449497000000001</v>
      </c>
      <c r="T12" s="774">
        <f>Meat!P89</f>
        <v>17.449497000000001</v>
      </c>
      <c r="U12" s="774">
        <f>Meat!Q89</f>
        <v>17.449497000000001</v>
      </c>
      <c r="V12" s="774">
        <f>Meat!R89</f>
        <v>17.449497000000001</v>
      </c>
      <c r="W12" s="774">
        <f>Meat!S89</f>
        <v>17.449497000000001</v>
      </c>
      <c r="X12" s="774">
        <f>Meat!T89</f>
        <v>17.449497000000001</v>
      </c>
      <c r="Y12" s="774">
        <f>Meat!U89</f>
        <v>17.449497000000001</v>
      </c>
      <c r="Z12" s="774">
        <f>Meat!V89</f>
        <v>17.449497000000001</v>
      </c>
    </row>
    <row r="13" spans="1:26" ht="19.95" customHeight="1">
      <c r="A13" s="3" t="s">
        <v>10</v>
      </c>
      <c r="B13" s="3" t="s">
        <v>11</v>
      </c>
      <c r="C13" s="3" t="s">
        <v>17</v>
      </c>
      <c r="D13" s="3" t="s">
        <v>12</v>
      </c>
      <c r="E13" s="4" t="s">
        <v>27</v>
      </c>
      <c r="F13" s="3" t="s">
        <v>0</v>
      </c>
      <c r="G13" s="3" t="s">
        <v>10</v>
      </c>
      <c r="H13" s="774">
        <f>Meat!D93</f>
        <v>3.3648134000000001</v>
      </c>
      <c r="I13" s="774">
        <f>Meat!E93</f>
        <v>3.3648134000000001</v>
      </c>
      <c r="J13" s="774">
        <f>Meat!F93</f>
        <v>3.3648134000000001</v>
      </c>
      <c r="K13" s="774">
        <f>Meat!G93</f>
        <v>3.3648134000000001</v>
      </c>
      <c r="L13" s="774">
        <f>Meat!H93</f>
        <v>3.3648134000000001</v>
      </c>
      <c r="M13" s="774">
        <f>Meat!I93</f>
        <v>3.3648134000000001</v>
      </c>
      <c r="N13" s="774">
        <f>Meat!J93</f>
        <v>3.3648134000000001</v>
      </c>
      <c r="O13" s="774">
        <f>Meat!K93</f>
        <v>3.3648134000000001</v>
      </c>
      <c r="P13" s="774">
        <f>Meat!L93</f>
        <v>3.3648134000000001</v>
      </c>
      <c r="Q13" s="774">
        <f>Meat!M93</f>
        <v>3.3648134000000001</v>
      </c>
      <c r="R13" s="774">
        <f>Meat!N93</f>
        <v>3.3648134000000001</v>
      </c>
      <c r="S13" s="774">
        <f>Meat!O93</f>
        <v>3.3648134000000001</v>
      </c>
      <c r="T13" s="774">
        <f>Meat!P93</f>
        <v>3.3648134000000001</v>
      </c>
      <c r="U13" s="774">
        <f>Meat!Q93</f>
        <v>3.3648134000000001</v>
      </c>
      <c r="V13" s="774">
        <f>Meat!R93</f>
        <v>3.3648134000000001</v>
      </c>
      <c r="W13" s="774">
        <f>Meat!S93</f>
        <v>3.3648134000000001</v>
      </c>
      <c r="X13" s="774">
        <f>Meat!T93</f>
        <v>3.3648134000000001</v>
      </c>
      <c r="Y13" s="774">
        <f>Meat!U93</f>
        <v>3.3648134000000001</v>
      </c>
      <c r="Z13" s="774">
        <f>Meat!V93</f>
        <v>3.3648134000000001</v>
      </c>
    </row>
    <row r="14" spans="1:26" ht="19.95" customHeight="1">
      <c r="A14" s="3" t="s">
        <v>10</v>
      </c>
      <c r="B14" s="3" t="s">
        <v>11</v>
      </c>
      <c r="C14" s="3" t="s">
        <v>18</v>
      </c>
      <c r="D14" s="3" t="s">
        <v>12</v>
      </c>
      <c r="E14" s="4" t="s">
        <v>13</v>
      </c>
      <c r="F14" s="3" t="s">
        <v>0</v>
      </c>
      <c r="G14" s="3" t="s">
        <v>10</v>
      </c>
      <c r="H14" s="774">
        <f>'pulp and paper '!D81</f>
        <v>978.98103000000015</v>
      </c>
      <c r="I14" s="774">
        <f>'pulp and paper '!E81</f>
        <v>978.98103000000015</v>
      </c>
      <c r="J14" s="774">
        <f>'pulp and paper '!F81</f>
        <v>978.98103000000015</v>
      </c>
      <c r="K14" s="774">
        <f>'pulp and paper '!G81</f>
        <v>978.98103000000015</v>
      </c>
      <c r="L14" s="774">
        <f>'pulp and paper '!H81</f>
        <v>978.98103000000015</v>
      </c>
      <c r="M14" s="774">
        <f>'pulp and paper '!I81</f>
        <v>978.98103000000015</v>
      </c>
      <c r="N14" s="774">
        <f>'pulp and paper '!J81</f>
        <v>978.98103000000015</v>
      </c>
      <c r="O14" s="774">
        <f>'pulp and paper '!K81</f>
        <v>978.98103000000015</v>
      </c>
      <c r="P14" s="774">
        <f>'pulp and paper '!L81</f>
        <v>978.98103000000015</v>
      </c>
      <c r="Q14" s="774">
        <f>'pulp and paper '!M81</f>
        <v>978.98103000000015</v>
      </c>
      <c r="R14" s="774">
        <f>'pulp and paper '!N81</f>
        <v>978.98103000000015</v>
      </c>
      <c r="S14" s="774">
        <f>'pulp and paper '!O81</f>
        <v>978.98103000000015</v>
      </c>
      <c r="T14" s="774">
        <f>'pulp and paper '!P81</f>
        <v>978.98103000000015</v>
      </c>
      <c r="U14" s="774">
        <f>'pulp and paper '!Q81</f>
        <v>978.98103000000015</v>
      </c>
      <c r="V14" s="774">
        <f>'pulp and paper '!R81</f>
        <v>978.98103000000015</v>
      </c>
      <c r="W14" s="774">
        <f>'pulp and paper '!S81</f>
        <v>978.98103000000015</v>
      </c>
      <c r="X14" s="774">
        <f>'pulp and paper '!T81</f>
        <v>978.98103000000015</v>
      </c>
      <c r="Y14" s="774">
        <f>'pulp and paper '!U81</f>
        <v>978.98103000000015</v>
      </c>
      <c r="Z14" s="774">
        <f>'pulp and paper '!V81</f>
        <v>978.98103000000015</v>
      </c>
    </row>
    <row r="15" spans="1:26" ht="19.95" customHeight="1">
      <c r="A15" s="3" t="s">
        <v>10</v>
      </c>
      <c r="B15" s="3" t="s">
        <v>11</v>
      </c>
      <c r="C15" s="3" t="s">
        <v>18</v>
      </c>
      <c r="D15" s="3" t="s">
        <v>12</v>
      </c>
      <c r="E15" s="4" t="s">
        <v>25</v>
      </c>
      <c r="F15" s="3" t="s">
        <v>0</v>
      </c>
      <c r="G15" s="3" t="s">
        <v>10</v>
      </c>
      <c r="H15" s="774">
        <f>'pulp and paper '!D84</f>
        <v>20558.601630000005</v>
      </c>
      <c r="I15" s="774">
        <f>'pulp and paper '!E84</f>
        <v>20558.601630000005</v>
      </c>
      <c r="J15" s="774">
        <f>'pulp and paper '!F84</f>
        <v>20558.601630000005</v>
      </c>
      <c r="K15" s="774">
        <f>'pulp and paper '!G84</f>
        <v>20558.601630000005</v>
      </c>
      <c r="L15" s="774">
        <f>'pulp and paper '!H84</f>
        <v>20558.601630000005</v>
      </c>
      <c r="M15" s="774">
        <f>'pulp and paper '!I84</f>
        <v>20558.601630000005</v>
      </c>
      <c r="N15" s="774">
        <f>'pulp and paper '!J84</f>
        <v>20558.601630000005</v>
      </c>
      <c r="O15" s="774">
        <f>'pulp and paper '!K84</f>
        <v>20558.601630000005</v>
      </c>
      <c r="P15" s="774">
        <f>'pulp and paper '!L84</f>
        <v>20558.601630000005</v>
      </c>
      <c r="Q15" s="774">
        <f>'pulp and paper '!M84</f>
        <v>20558.601630000005</v>
      </c>
      <c r="R15" s="774">
        <f>'pulp and paper '!N84</f>
        <v>20558.601630000005</v>
      </c>
      <c r="S15" s="774">
        <f>'pulp and paper '!O84</f>
        <v>20558.601630000005</v>
      </c>
      <c r="T15" s="774">
        <f>'pulp and paper '!P84</f>
        <v>20558.601630000005</v>
      </c>
      <c r="U15" s="774">
        <f>'pulp and paper '!Q84</f>
        <v>20558.601630000005</v>
      </c>
      <c r="V15" s="774">
        <f>'pulp and paper '!R84</f>
        <v>20558.601630000005</v>
      </c>
      <c r="W15" s="774">
        <f>'pulp and paper '!S84</f>
        <v>20558.601630000005</v>
      </c>
      <c r="X15" s="774">
        <f>'pulp and paper '!T84</f>
        <v>20558.601630000005</v>
      </c>
      <c r="Y15" s="774">
        <f>'pulp and paper '!U84</f>
        <v>20558.601630000005</v>
      </c>
      <c r="Z15" s="774">
        <f>'pulp and paper '!V84</f>
        <v>20558.601630000005</v>
      </c>
    </row>
    <row r="16" spans="1:26" ht="19.95" customHeight="1">
      <c r="A16" s="3" t="s">
        <v>10</v>
      </c>
      <c r="B16" s="3" t="s">
        <v>11</v>
      </c>
      <c r="C16" s="3" t="s">
        <v>18</v>
      </c>
      <c r="D16" s="3" t="s">
        <v>12</v>
      </c>
      <c r="E16" s="4" t="s">
        <v>26</v>
      </c>
      <c r="F16" s="3" t="s">
        <v>0</v>
      </c>
      <c r="G16" s="3" t="s">
        <v>10</v>
      </c>
      <c r="H16" s="774">
        <f>'pulp and paper '!D87</f>
        <v>27313.570737000002</v>
      </c>
      <c r="I16" s="774">
        <f>'pulp and paper '!E87</f>
        <v>27313.570737000002</v>
      </c>
      <c r="J16" s="774">
        <f>'pulp and paper '!F87</f>
        <v>27313.570737000002</v>
      </c>
      <c r="K16" s="774">
        <f>'pulp and paper '!G87</f>
        <v>27313.570737000002</v>
      </c>
      <c r="L16" s="774">
        <f>'pulp and paper '!H87</f>
        <v>27313.570737000002</v>
      </c>
      <c r="M16" s="774">
        <f>'pulp and paper '!I87</f>
        <v>27313.570737000002</v>
      </c>
      <c r="N16" s="774">
        <f>'pulp and paper '!J87</f>
        <v>27313.570737000002</v>
      </c>
      <c r="O16" s="774">
        <f>'pulp and paper '!K87</f>
        <v>27313.570737000002</v>
      </c>
      <c r="P16" s="774">
        <f>'pulp and paper '!L87</f>
        <v>27313.570737000002</v>
      </c>
      <c r="Q16" s="774">
        <f>'pulp and paper '!M87</f>
        <v>27313.570737000002</v>
      </c>
      <c r="R16" s="774">
        <f>'pulp and paper '!N87</f>
        <v>27313.570737000002</v>
      </c>
      <c r="S16" s="774">
        <f>'pulp and paper '!O87</f>
        <v>27313.570737000002</v>
      </c>
      <c r="T16" s="774">
        <f>'pulp and paper '!P87</f>
        <v>27313.570737000002</v>
      </c>
      <c r="U16" s="774">
        <f>'pulp and paper '!Q87</f>
        <v>27313.570737000002</v>
      </c>
      <c r="V16" s="774">
        <f>'pulp and paper '!R87</f>
        <v>27313.570737000002</v>
      </c>
      <c r="W16" s="774">
        <f>'pulp and paper '!S87</f>
        <v>27313.570737000002</v>
      </c>
      <c r="X16" s="774">
        <f>'pulp and paper '!T87</f>
        <v>27313.570737000002</v>
      </c>
      <c r="Y16" s="774">
        <f>'pulp and paper '!U87</f>
        <v>27313.570737000002</v>
      </c>
      <c r="Z16" s="774">
        <f>'pulp and paper '!V87</f>
        <v>27313.570737000002</v>
      </c>
    </row>
    <row r="17" spans="1:26" ht="19.95" customHeight="1">
      <c r="A17" s="3" t="s">
        <v>10</v>
      </c>
      <c r="B17" s="3" t="s">
        <v>11</v>
      </c>
      <c r="C17" s="3" t="s">
        <v>18</v>
      </c>
      <c r="D17" s="3" t="s">
        <v>12</v>
      </c>
      <c r="E17" s="4" t="s">
        <v>27</v>
      </c>
      <c r="F17" s="3" t="s">
        <v>0</v>
      </c>
      <c r="G17" s="3" t="s">
        <v>10</v>
      </c>
      <c r="H17" s="774">
        <f>'pulp and paper '!D91</f>
        <v>5266.9179414000009</v>
      </c>
      <c r="I17" s="774">
        <f>'pulp and paper '!E91</f>
        <v>5266.9179414000009</v>
      </c>
      <c r="J17" s="774">
        <f>'pulp and paper '!F91</f>
        <v>5266.9179414000009</v>
      </c>
      <c r="K17" s="774">
        <f>'pulp and paper '!G91</f>
        <v>5266.9179414000009</v>
      </c>
      <c r="L17" s="774">
        <f>'pulp and paper '!H91</f>
        <v>5266.9179414000009</v>
      </c>
      <c r="M17" s="774">
        <f>'pulp and paper '!I91</f>
        <v>5266.9179414000009</v>
      </c>
      <c r="N17" s="774">
        <f>'pulp and paper '!J91</f>
        <v>5266.9179414000009</v>
      </c>
      <c r="O17" s="774">
        <f>'pulp and paper '!K91</f>
        <v>5266.9179414000009</v>
      </c>
      <c r="P17" s="774">
        <f>'pulp and paper '!L91</f>
        <v>5266.9179414000009</v>
      </c>
      <c r="Q17" s="774">
        <f>'pulp and paper '!M91</f>
        <v>5266.9179414000009</v>
      </c>
      <c r="R17" s="774">
        <f>'pulp and paper '!N91</f>
        <v>5266.9179414000009</v>
      </c>
      <c r="S17" s="774">
        <f>'pulp and paper '!O91</f>
        <v>5266.9179414000009</v>
      </c>
      <c r="T17" s="774">
        <f>'pulp and paper '!P91</f>
        <v>5266.9179414000009</v>
      </c>
      <c r="U17" s="774">
        <f>'pulp and paper '!Q91</f>
        <v>5266.9179414000009</v>
      </c>
      <c r="V17" s="774">
        <f>'pulp and paper '!R91</f>
        <v>5266.9179414000009</v>
      </c>
      <c r="W17" s="774">
        <f>'pulp and paper '!S91</f>
        <v>5266.9179414000009</v>
      </c>
      <c r="X17" s="774">
        <f>'pulp and paper '!T91</f>
        <v>5266.9179414000009</v>
      </c>
      <c r="Y17" s="774">
        <f>'pulp and paper '!U91</f>
        <v>5266.9179414000009</v>
      </c>
      <c r="Z17" s="774">
        <f>'pulp and paper '!V91</f>
        <v>5266.9179414000009</v>
      </c>
    </row>
    <row r="18" spans="1:26" ht="19.95" customHeight="1">
      <c r="A18" s="3" t="s">
        <v>10</v>
      </c>
      <c r="B18" s="3" t="s">
        <v>11</v>
      </c>
      <c r="C18" s="3" t="s">
        <v>19</v>
      </c>
      <c r="D18" s="3" t="s">
        <v>12</v>
      </c>
      <c r="E18" s="4" t="s">
        <v>13</v>
      </c>
      <c r="F18" s="3" t="s">
        <v>0</v>
      </c>
      <c r="G18" s="3" t="s">
        <v>10</v>
      </c>
      <c r="H18" s="774">
        <f>Rubber!D80</f>
        <v>0</v>
      </c>
      <c r="I18" s="774">
        <f>Rubber!E80</f>
        <v>0</v>
      </c>
      <c r="J18" s="774">
        <f>Rubber!F80</f>
        <v>0</v>
      </c>
      <c r="K18" s="774">
        <f>Rubber!G80</f>
        <v>0</v>
      </c>
      <c r="L18" s="774">
        <f>Rubber!H80</f>
        <v>0</v>
      </c>
      <c r="M18" s="774">
        <f>Rubber!I80</f>
        <v>0</v>
      </c>
      <c r="N18" s="774">
        <f>Rubber!J80</f>
        <v>0</v>
      </c>
      <c r="O18" s="774">
        <f>Rubber!K80</f>
        <v>0</v>
      </c>
      <c r="P18" s="774">
        <f>Rubber!L80</f>
        <v>0</v>
      </c>
      <c r="Q18" s="774">
        <f>Rubber!M80</f>
        <v>0</v>
      </c>
      <c r="R18" s="774">
        <f>Rubber!N80</f>
        <v>0</v>
      </c>
      <c r="S18" s="774">
        <f>Rubber!O80</f>
        <v>0</v>
      </c>
      <c r="T18" s="774">
        <f>Rubber!P80</f>
        <v>0</v>
      </c>
      <c r="U18" s="774">
        <f>Rubber!Q80</f>
        <v>0</v>
      </c>
      <c r="V18" s="774">
        <f>Rubber!R80</f>
        <v>0</v>
      </c>
      <c r="W18" s="774">
        <f>Rubber!S80</f>
        <v>0</v>
      </c>
      <c r="X18" s="774">
        <f>Rubber!T80</f>
        <v>0</v>
      </c>
      <c r="Y18" s="774">
        <f>Rubber!U80</f>
        <v>0</v>
      </c>
      <c r="Z18" s="774">
        <f>Rubber!V80</f>
        <v>0</v>
      </c>
    </row>
    <row r="19" spans="1:26" ht="19.95" customHeight="1">
      <c r="A19" s="3" t="s">
        <v>10</v>
      </c>
      <c r="B19" s="3" t="s">
        <v>11</v>
      </c>
      <c r="C19" s="3" t="s">
        <v>19</v>
      </c>
      <c r="D19" s="3" t="s">
        <v>12</v>
      </c>
      <c r="E19" s="4" t="s">
        <v>25</v>
      </c>
      <c r="F19" s="3" t="s">
        <v>0</v>
      </c>
      <c r="G19" s="3" t="s">
        <v>10</v>
      </c>
      <c r="H19" s="774">
        <f>Rubber!D84</f>
        <v>0</v>
      </c>
      <c r="I19" s="774">
        <f>Rubber!E84</f>
        <v>0</v>
      </c>
      <c r="J19" s="774">
        <f>Rubber!F84</f>
        <v>0</v>
      </c>
      <c r="K19" s="774">
        <f>Rubber!G84</f>
        <v>0</v>
      </c>
      <c r="L19" s="774">
        <f>Rubber!H84</f>
        <v>0</v>
      </c>
      <c r="M19" s="774">
        <f>Rubber!I84</f>
        <v>0</v>
      </c>
      <c r="N19" s="774">
        <f>Rubber!J84</f>
        <v>0</v>
      </c>
      <c r="O19" s="774">
        <f>Rubber!K84</f>
        <v>0</v>
      </c>
      <c r="P19" s="774">
        <f>Rubber!L84</f>
        <v>0</v>
      </c>
      <c r="Q19" s="774">
        <f>Rubber!M84</f>
        <v>0</v>
      </c>
      <c r="R19" s="774">
        <f>Rubber!N84</f>
        <v>0</v>
      </c>
      <c r="S19" s="774">
        <f>Rubber!O84</f>
        <v>0</v>
      </c>
      <c r="T19" s="774">
        <f>Rubber!P84</f>
        <v>0</v>
      </c>
      <c r="U19" s="774">
        <f>Rubber!Q84</f>
        <v>0</v>
      </c>
      <c r="V19" s="774">
        <f>Rubber!R84</f>
        <v>0</v>
      </c>
      <c r="W19" s="774">
        <f>Rubber!S84</f>
        <v>0</v>
      </c>
      <c r="X19" s="774">
        <f>Rubber!T84</f>
        <v>0</v>
      </c>
      <c r="Y19" s="774">
        <f>Rubber!U84</f>
        <v>0</v>
      </c>
      <c r="Z19" s="774">
        <f>Rubber!V84</f>
        <v>0</v>
      </c>
    </row>
    <row r="20" spans="1:26" ht="19.95" customHeight="1">
      <c r="A20" s="3" t="s">
        <v>10</v>
      </c>
      <c r="B20" s="3" t="s">
        <v>11</v>
      </c>
      <c r="C20" s="3" t="s">
        <v>19</v>
      </c>
      <c r="D20" s="3" t="s">
        <v>12</v>
      </c>
      <c r="E20" s="4" t="s">
        <v>26</v>
      </c>
      <c r="F20" s="3" t="s">
        <v>0</v>
      </c>
      <c r="G20" s="3" t="s">
        <v>10</v>
      </c>
      <c r="H20" s="774">
        <f>Rubber!D87</f>
        <v>0</v>
      </c>
      <c r="I20" s="774">
        <f>Rubber!E87</f>
        <v>0</v>
      </c>
      <c r="J20" s="774">
        <f>Rubber!F87</f>
        <v>0</v>
      </c>
      <c r="K20" s="774">
        <f>Rubber!G87</f>
        <v>0</v>
      </c>
      <c r="L20" s="774">
        <f>Rubber!H87</f>
        <v>0</v>
      </c>
      <c r="M20" s="774">
        <f>Rubber!I87</f>
        <v>0</v>
      </c>
      <c r="N20" s="774">
        <f>Rubber!J87</f>
        <v>0</v>
      </c>
      <c r="O20" s="774">
        <f>Rubber!K87</f>
        <v>0</v>
      </c>
      <c r="P20" s="774">
        <f>Rubber!L87</f>
        <v>0</v>
      </c>
      <c r="Q20" s="774">
        <f>Rubber!M87</f>
        <v>0</v>
      </c>
      <c r="R20" s="774">
        <f>Rubber!N87</f>
        <v>0</v>
      </c>
      <c r="S20" s="774">
        <f>Rubber!O87</f>
        <v>0</v>
      </c>
      <c r="T20" s="774">
        <f>Rubber!P87</f>
        <v>0</v>
      </c>
      <c r="U20" s="774">
        <f>Rubber!Q87</f>
        <v>0</v>
      </c>
      <c r="V20" s="774">
        <f>Rubber!R87</f>
        <v>0</v>
      </c>
      <c r="W20" s="774">
        <f>Rubber!S87</f>
        <v>0</v>
      </c>
      <c r="X20" s="774">
        <f>Rubber!T87</f>
        <v>0</v>
      </c>
      <c r="Y20" s="774">
        <f>Rubber!U87</f>
        <v>0</v>
      </c>
      <c r="Z20" s="774">
        <f>Rubber!V87</f>
        <v>0</v>
      </c>
    </row>
    <row r="21" spans="1:26" ht="19.95" customHeight="1">
      <c r="A21" s="3" t="s">
        <v>10</v>
      </c>
      <c r="B21" s="3" t="s">
        <v>11</v>
      </c>
      <c r="C21" s="3" t="s">
        <v>19</v>
      </c>
      <c r="D21" s="3" t="s">
        <v>12</v>
      </c>
      <c r="E21" s="4" t="s">
        <v>27</v>
      </c>
      <c r="F21" s="3" t="s">
        <v>0</v>
      </c>
      <c r="G21" s="3" t="s">
        <v>10</v>
      </c>
      <c r="H21" s="774">
        <f>Rubber!D90</f>
        <v>0</v>
      </c>
      <c r="I21" s="774">
        <f>Rubber!E90</f>
        <v>0</v>
      </c>
      <c r="J21" s="774">
        <f>Rubber!F90</f>
        <v>0</v>
      </c>
      <c r="K21" s="774">
        <f>Rubber!G90</f>
        <v>0</v>
      </c>
      <c r="L21" s="774">
        <f>Rubber!H90</f>
        <v>0</v>
      </c>
      <c r="M21" s="774">
        <f>Rubber!I90</f>
        <v>0</v>
      </c>
      <c r="N21" s="774">
        <f>Rubber!J90</f>
        <v>0</v>
      </c>
      <c r="O21" s="774">
        <f>Rubber!K90</f>
        <v>0</v>
      </c>
      <c r="P21" s="774">
        <f>Rubber!L90</f>
        <v>0</v>
      </c>
      <c r="Q21" s="774">
        <f>Rubber!M90</f>
        <v>0</v>
      </c>
      <c r="R21" s="774">
        <f>Rubber!N90</f>
        <v>0</v>
      </c>
      <c r="S21" s="774">
        <f>Rubber!O90</f>
        <v>0</v>
      </c>
      <c r="T21" s="774">
        <f>Rubber!P90</f>
        <v>0</v>
      </c>
      <c r="U21" s="774">
        <f>Rubber!Q90</f>
        <v>0</v>
      </c>
      <c r="V21" s="774">
        <f>Rubber!R90</f>
        <v>0</v>
      </c>
      <c r="W21" s="774">
        <f>Rubber!S90</f>
        <v>0</v>
      </c>
      <c r="X21" s="774">
        <f>Rubber!T90</f>
        <v>0</v>
      </c>
      <c r="Y21" s="774">
        <f>Rubber!U90</f>
        <v>0</v>
      </c>
      <c r="Z21" s="774">
        <f>Rubber!V90</f>
        <v>0</v>
      </c>
    </row>
    <row r="22" spans="1:26" ht="19.95" customHeight="1">
      <c r="A22" s="3" t="s">
        <v>10</v>
      </c>
      <c r="B22" s="3" t="s">
        <v>11</v>
      </c>
      <c r="C22" s="3" t="s">
        <v>20</v>
      </c>
      <c r="D22" s="3" t="s">
        <v>12</v>
      </c>
      <c r="E22" s="4" t="s">
        <v>13</v>
      </c>
      <c r="F22" s="3" t="s">
        <v>0</v>
      </c>
      <c r="G22" s="3" t="s">
        <v>10</v>
      </c>
      <c r="H22" s="774">
        <f>Tannery!D85</f>
        <v>7.5130900000000027</v>
      </c>
      <c r="I22" s="774">
        <f>Tannery!E85</f>
        <v>7.5130900000000027</v>
      </c>
      <c r="J22" s="774">
        <f>Tannery!F85</f>
        <v>7.5130900000000027</v>
      </c>
      <c r="K22" s="774">
        <f>Tannery!G85</f>
        <v>7.5130900000000027</v>
      </c>
      <c r="L22" s="774">
        <f>Tannery!H85</f>
        <v>7.5130900000000027</v>
      </c>
      <c r="M22" s="774">
        <f>Tannery!I85</f>
        <v>7.5130900000000027</v>
      </c>
      <c r="N22" s="774">
        <f>Tannery!J85</f>
        <v>7.5130900000000027</v>
      </c>
      <c r="O22" s="774">
        <f>Tannery!K85</f>
        <v>7.5130900000000027</v>
      </c>
      <c r="P22" s="774">
        <f>Tannery!L85</f>
        <v>7.5130900000000027</v>
      </c>
      <c r="Q22" s="774">
        <f>Tannery!M85</f>
        <v>7.5130900000000027</v>
      </c>
      <c r="R22" s="774">
        <f>Tannery!N85</f>
        <v>7.5130900000000027</v>
      </c>
      <c r="S22" s="774">
        <f>Tannery!O85</f>
        <v>7.5130900000000027</v>
      </c>
      <c r="T22" s="774">
        <f>Tannery!P85</f>
        <v>7.5130900000000027</v>
      </c>
      <c r="U22" s="774">
        <f>Tannery!Q85</f>
        <v>7.5130900000000027</v>
      </c>
      <c r="V22" s="774">
        <f>Tannery!R85</f>
        <v>7.5130900000000027</v>
      </c>
      <c r="W22" s="774">
        <f>Tannery!S85</f>
        <v>7.5130900000000027</v>
      </c>
      <c r="X22" s="774">
        <f>Tannery!T85</f>
        <v>7.5130900000000027</v>
      </c>
      <c r="Y22" s="774">
        <f>Tannery!U85</f>
        <v>7.5130900000000027</v>
      </c>
      <c r="Z22" s="774">
        <f>Tannery!V85</f>
        <v>7.5130900000000027</v>
      </c>
    </row>
    <row r="23" spans="1:26" ht="19.95" customHeight="1">
      <c r="A23" s="3" t="s">
        <v>10</v>
      </c>
      <c r="B23" s="3" t="s">
        <v>11</v>
      </c>
      <c r="C23" s="3" t="s">
        <v>20</v>
      </c>
      <c r="D23" s="3" t="s">
        <v>12</v>
      </c>
      <c r="E23" s="4" t="s">
        <v>25</v>
      </c>
      <c r="F23" s="3" t="s">
        <v>0</v>
      </c>
      <c r="G23" s="3" t="s">
        <v>10</v>
      </c>
      <c r="H23" s="774">
        <f>Tannery!D88</f>
        <v>157.77489000000006</v>
      </c>
      <c r="I23" s="774">
        <f>Tannery!E88</f>
        <v>157.77489000000006</v>
      </c>
      <c r="J23" s="774">
        <f>Tannery!F88</f>
        <v>157.77489000000006</v>
      </c>
      <c r="K23" s="774">
        <f>Tannery!G88</f>
        <v>157.77489000000006</v>
      </c>
      <c r="L23" s="774">
        <f>Tannery!H88</f>
        <v>157.77489000000006</v>
      </c>
      <c r="M23" s="774">
        <f>Tannery!I88</f>
        <v>157.77489000000006</v>
      </c>
      <c r="N23" s="774">
        <f>Tannery!J88</f>
        <v>157.77489000000006</v>
      </c>
      <c r="O23" s="774">
        <f>Tannery!K88</f>
        <v>157.77489000000006</v>
      </c>
      <c r="P23" s="774">
        <f>Tannery!L88</f>
        <v>157.77489000000006</v>
      </c>
      <c r="Q23" s="774">
        <f>Tannery!M88</f>
        <v>157.77489000000006</v>
      </c>
      <c r="R23" s="774">
        <f>Tannery!N88</f>
        <v>157.77489000000006</v>
      </c>
      <c r="S23" s="774">
        <f>Tannery!O88</f>
        <v>157.77489000000006</v>
      </c>
      <c r="T23" s="774">
        <f>Tannery!P88</f>
        <v>157.77489000000006</v>
      </c>
      <c r="U23" s="774">
        <f>Tannery!Q88</f>
        <v>157.77489000000006</v>
      </c>
      <c r="V23" s="774">
        <f>Tannery!R88</f>
        <v>157.77489000000006</v>
      </c>
      <c r="W23" s="774">
        <f>Tannery!S88</f>
        <v>157.77489000000006</v>
      </c>
      <c r="X23" s="774">
        <f>Tannery!T88</f>
        <v>157.77489000000006</v>
      </c>
      <c r="Y23" s="774">
        <f>Tannery!U88</f>
        <v>157.77489000000006</v>
      </c>
      <c r="Z23" s="774">
        <f>Tannery!V88</f>
        <v>157.77489000000006</v>
      </c>
    </row>
    <row r="24" spans="1:26" ht="19.95" customHeight="1">
      <c r="A24" s="3" t="s">
        <v>10</v>
      </c>
      <c r="B24" s="3" t="s">
        <v>11</v>
      </c>
      <c r="C24" s="3" t="s">
        <v>20</v>
      </c>
      <c r="D24" s="3" t="s">
        <v>12</v>
      </c>
      <c r="E24" s="4" t="s">
        <v>26</v>
      </c>
      <c r="F24" s="3" t="s">
        <v>0</v>
      </c>
      <c r="G24" s="3" t="s">
        <v>10</v>
      </c>
      <c r="H24" s="774">
        <f>Tannery!D91</f>
        <v>209.61521100000007</v>
      </c>
      <c r="I24" s="774">
        <f>Tannery!E91</f>
        <v>209.61521100000007</v>
      </c>
      <c r="J24" s="774">
        <f>Tannery!F91</f>
        <v>209.61521100000007</v>
      </c>
      <c r="K24" s="774">
        <f>Tannery!G91</f>
        <v>209.61521100000007</v>
      </c>
      <c r="L24" s="774">
        <f>Tannery!H91</f>
        <v>209.61521100000007</v>
      </c>
      <c r="M24" s="774">
        <f>Tannery!I91</f>
        <v>209.61521100000007</v>
      </c>
      <c r="N24" s="774">
        <f>Tannery!J91</f>
        <v>209.61521100000007</v>
      </c>
      <c r="O24" s="774">
        <f>Tannery!K91</f>
        <v>209.61521100000007</v>
      </c>
      <c r="P24" s="774">
        <f>Tannery!L91</f>
        <v>209.61521100000007</v>
      </c>
      <c r="Q24" s="774">
        <f>Tannery!M91</f>
        <v>209.61521100000007</v>
      </c>
      <c r="R24" s="774">
        <f>Tannery!N91</f>
        <v>209.61521100000007</v>
      </c>
      <c r="S24" s="774">
        <f>Tannery!O91</f>
        <v>209.61521100000007</v>
      </c>
      <c r="T24" s="774">
        <f>Tannery!P91</f>
        <v>209.61521100000007</v>
      </c>
      <c r="U24" s="774">
        <f>Tannery!Q91</f>
        <v>209.61521100000007</v>
      </c>
      <c r="V24" s="774">
        <f>Tannery!R91</f>
        <v>209.61521100000007</v>
      </c>
      <c r="W24" s="774">
        <f>Tannery!S91</f>
        <v>209.61521100000007</v>
      </c>
      <c r="X24" s="774">
        <f>Tannery!T91</f>
        <v>209.61521100000007</v>
      </c>
      <c r="Y24" s="774">
        <f>Tannery!U91</f>
        <v>209.61521100000007</v>
      </c>
      <c r="Z24" s="774">
        <f>Tannery!V91</f>
        <v>209.61521100000007</v>
      </c>
    </row>
    <row r="25" spans="1:26" ht="19.95" customHeight="1">
      <c r="A25" s="3" t="s">
        <v>10</v>
      </c>
      <c r="B25" s="3" t="s">
        <v>11</v>
      </c>
      <c r="C25" s="3" t="s">
        <v>20</v>
      </c>
      <c r="D25" s="3" t="s">
        <v>12</v>
      </c>
      <c r="E25" s="4" t="s">
        <v>27</v>
      </c>
      <c r="F25" s="3" t="s">
        <v>0</v>
      </c>
      <c r="G25" s="3" t="s">
        <v>10</v>
      </c>
      <c r="H25" s="774">
        <f>Tannery!D96</f>
        <v>40.420424200000014</v>
      </c>
      <c r="I25" s="774">
        <f>Tannery!E96</f>
        <v>40.420424200000014</v>
      </c>
      <c r="J25" s="774">
        <f>Tannery!F96</f>
        <v>40.420424200000014</v>
      </c>
      <c r="K25" s="774">
        <f>Tannery!G96</f>
        <v>40.420424200000014</v>
      </c>
      <c r="L25" s="774">
        <f>Tannery!H96</f>
        <v>40.420424200000014</v>
      </c>
      <c r="M25" s="774">
        <f>Tannery!I96</f>
        <v>40.420424200000014</v>
      </c>
      <c r="N25" s="774">
        <f>Tannery!J96</f>
        <v>40.420424200000014</v>
      </c>
      <c r="O25" s="774">
        <f>Tannery!K96</f>
        <v>40.420424200000014</v>
      </c>
      <c r="P25" s="774">
        <f>Tannery!L96</f>
        <v>40.420424200000014</v>
      </c>
      <c r="Q25" s="774">
        <f>Tannery!M96</f>
        <v>40.420424200000014</v>
      </c>
      <c r="R25" s="774">
        <f>Tannery!N96</f>
        <v>40.420424200000014</v>
      </c>
      <c r="S25" s="774">
        <f>Tannery!O96</f>
        <v>40.420424200000014</v>
      </c>
      <c r="T25" s="774">
        <f>Tannery!P96</f>
        <v>40.420424200000014</v>
      </c>
      <c r="U25" s="774">
        <f>Tannery!Q96</f>
        <v>40.420424200000014</v>
      </c>
      <c r="V25" s="774">
        <f>Tannery!R96</f>
        <v>40.420424200000014</v>
      </c>
      <c r="W25" s="774">
        <f>Tannery!S96</f>
        <v>40.420424200000014</v>
      </c>
      <c r="X25" s="774">
        <f>Tannery!T96</f>
        <v>40.420424200000014</v>
      </c>
      <c r="Y25" s="774">
        <f>Tannery!U96</f>
        <v>40.420424200000014</v>
      </c>
      <c r="Z25" s="774">
        <f>Tannery!V96</f>
        <v>40.420424200000014</v>
      </c>
    </row>
    <row r="26" spans="1:26" ht="19.95" customHeight="1">
      <c r="A26" s="3" t="s">
        <v>10</v>
      </c>
      <c r="B26" s="3" t="s">
        <v>11</v>
      </c>
      <c r="C26" s="3" t="s">
        <v>21</v>
      </c>
      <c r="D26" s="3" t="s">
        <v>12</v>
      </c>
      <c r="E26" s="4" t="s">
        <v>13</v>
      </c>
      <c r="F26" s="3" t="s">
        <v>0</v>
      </c>
      <c r="G26" s="3" t="s">
        <v>10</v>
      </c>
      <c r="H26" s="774">
        <f>'Fish processing'!D83</f>
        <v>104.12899874999998</v>
      </c>
      <c r="I26" s="774">
        <f>'Fish processing'!E83</f>
        <v>104.12899874999998</v>
      </c>
      <c r="J26" s="774">
        <f>'Fish processing'!F83</f>
        <v>104.12899874999998</v>
      </c>
      <c r="K26" s="774">
        <f>'Fish processing'!G83</f>
        <v>104.12899874999998</v>
      </c>
      <c r="L26" s="774">
        <f>'Fish processing'!H83</f>
        <v>104.12899874999998</v>
      </c>
      <c r="M26" s="774">
        <f>'Fish processing'!I83</f>
        <v>104.12899874999998</v>
      </c>
      <c r="N26" s="774">
        <f>'Fish processing'!J83</f>
        <v>104.12899874999998</v>
      </c>
      <c r="O26" s="774">
        <f>'Fish processing'!K83</f>
        <v>104.12899874999998</v>
      </c>
      <c r="P26" s="774">
        <f>'Fish processing'!L83</f>
        <v>104.12899874999998</v>
      </c>
      <c r="Q26" s="774">
        <f>'Fish processing'!M83</f>
        <v>104.12899874999998</v>
      </c>
      <c r="R26" s="774">
        <f>'Fish processing'!N83</f>
        <v>104.12899874999998</v>
      </c>
      <c r="S26" s="774">
        <f>'Fish processing'!O83</f>
        <v>104.12899874999998</v>
      </c>
      <c r="T26" s="774">
        <f>'Fish processing'!P83</f>
        <v>104.12899874999998</v>
      </c>
      <c r="U26" s="774">
        <f>'Fish processing'!Q83</f>
        <v>104.12899874999998</v>
      </c>
      <c r="V26" s="774">
        <f>'Fish processing'!R83</f>
        <v>104.12899874999998</v>
      </c>
      <c r="W26" s="774">
        <f>'Fish processing'!S83</f>
        <v>104.12899874999998</v>
      </c>
      <c r="X26" s="774">
        <f>'Fish processing'!T83</f>
        <v>104.12899874999998</v>
      </c>
      <c r="Y26" s="774">
        <f>'Fish processing'!U83</f>
        <v>104.12899874999998</v>
      </c>
      <c r="Z26" s="774">
        <f>'Fish processing'!V83</f>
        <v>104.12899874999998</v>
      </c>
    </row>
    <row r="27" spans="1:26" ht="19.95" customHeight="1">
      <c r="A27" s="3" t="s">
        <v>10</v>
      </c>
      <c r="B27" s="3" t="s">
        <v>11</v>
      </c>
      <c r="C27" s="3" t="s">
        <v>21</v>
      </c>
      <c r="D27" s="3" t="s">
        <v>12</v>
      </c>
      <c r="E27" s="4" t="s">
        <v>25</v>
      </c>
      <c r="F27" s="3" t="s">
        <v>0</v>
      </c>
      <c r="G27" s="3" t="s">
        <v>10</v>
      </c>
      <c r="H27" s="774">
        <f>'Fish processing'!D86</f>
        <v>2186.7089737499996</v>
      </c>
      <c r="I27" s="774">
        <f>'Fish processing'!E86</f>
        <v>2186.7089737499996</v>
      </c>
      <c r="J27" s="774">
        <f>'Fish processing'!F86</f>
        <v>2186.7089737499996</v>
      </c>
      <c r="K27" s="774">
        <f>'Fish processing'!G86</f>
        <v>2186.7089737499996</v>
      </c>
      <c r="L27" s="774">
        <f>'Fish processing'!H86</f>
        <v>2186.7089737499996</v>
      </c>
      <c r="M27" s="774">
        <f>'Fish processing'!I86</f>
        <v>2186.7089737499996</v>
      </c>
      <c r="N27" s="774">
        <f>'Fish processing'!J86</f>
        <v>2186.7089737499996</v>
      </c>
      <c r="O27" s="774">
        <f>'Fish processing'!K86</f>
        <v>2186.7089737499996</v>
      </c>
      <c r="P27" s="774">
        <f>'Fish processing'!L86</f>
        <v>2186.7089737499996</v>
      </c>
      <c r="Q27" s="774">
        <f>'Fish processing'!M86</f>
        <v>2186.7089737499996</v>
      </c>
      <c r="R27" s="774">
        <f>'Fish processing'!N86</f>
        <v>2186.7089737499996</v>
      </c>
      <c r="S27" s="774">
        <f>'Fish processing'!O86</f>
        <v>2186.7089737499996</v>
      </c>
      <c r="T27" s="774">
        <f>'Fish processing'!P86</f>
        <v>2186.7089737499996</v>
      </c>
      <c r="U27" s="774">
        <f>'Fish processing'!Q86</f>
        <v>2186.7089737499996</v>
      </c>
      <c r="V27" s="774">
        <f>'Fish processing'!R86</f>
        <v>2186.7089737499996</v>
      </c>
      <c r="W27" s="774">
        <f>'Fish processing'!S86</f>
        <v>2186.7089737499996</v>
      </c>
      <c r="X27" s="774">
        <f>'Fish processing'!T86</f>
        <v>2186.7089737499996</v>
      </c>
      <c r="Y27" s="774">
        <f>'Fish processing'!U86</f>
        <v>2186.7089737499996</v>
      </c>
      <c r="Z27" s="774">
        <f>'Fish processing'!V86</f>
        <v>2186.7089737499996</v>
      </c>
    </row>
    <row r="28" spans="1:26" ht="19.95" customHeight="1">
      <c r="A28" s="3" t="s">
        <v>10</v>
      </c>
      <c r="B28" s="3" t="s">
        <v>11</v>
      </c>
      <c r="C28" s="3" t="s">
        <v>21</v>
      </c>
      <c r="D28" s="3" t="s">
        <v>12</v>
      </c>
      <c r="E28" s="4" t="s">
        <v>26</v>
      </c>
      <c r="F28" s="3" t="s">
        <v>0</v>
      </c>
      <c r="G28" s="3" t="s">
        <v>10</v>
      </c>
      <c r="H28" s="774">
        <f>'Fish processing'!D89</f>
        <v>2905.1990651249994</v>
      </c>
      <c r="I28" s="774">
        <f>'Fish processing'!E89</f>
        <v>2905.1990651249994</v>
      </c>
      <c r="J28" s="774">
        <f>'Fish processing'!F89</f>
        <v>2905.1990651249994</v>
      </c>
      <c r="K28" s="774">
        <f>'Fish processing'!G89</f>
        <v>2905.1990651249994</v>
      </c>
      <c r="L28" s="774">
        <f>'Fish processing'!H89</f>
        <v>2905.1990651249994</v>
      </c>
      <c r="M28" s="774">
        <f>'Fish processing'!I89</f>
        <v>2905.1990651249994</v>
      </c>
      <c r="N28" s="774">
        <f>'Fish processing'!J89</f>
        <v>2905.1990651249994</v>
      </c>
      <c r="O28" s="774">
        <f>'Fish processing'!K89</f>
        <v>2905.1990651249994</v>
      </c>
      <c r="P28" s="774">
        <f>'Fish processing'!L89</f>
        <v>2905.1990651249994</v>
      </c>
      <c r="Q28" s="774">
        <f>'Fish processing'!M89</f>
        <v>2905.1990651249994</v>
      </c>
      <c r="R28" s="774">
        <f>'Fish processing'!N89</f>
        <v>2905.1990651249994</v>
      </c>
      <c r="S28" s="774">
        <f>'Fish processing'!O89</f>
        <v>2905.1990651249994</v>
      </c>
      <c r="T28" s="774">
        <f>'Fish processing'!P89</f>
        <v>2905.1990651249994</v>
      </c>
      <c r="U28" s="774">
        <f>'Fish processing'!Q89</f>
        <v>2905.1990651249994</v>
      </c>
      <c r="V28" s="774">
        <f>'Fish processing'!R89</f>
        <v>2905.1990651249994</v>
      </c>
      <c r="W28" s="774">
        <f>'Fish processing'!S89</f>
        <v>2905.1990651249994</v>
      </c>
      <c r="X28" s="774">
        <f>'Fish processing'!T89</f>
        <v>2905.1990651249994</v>
      </c>
      <c r="Y28" s="774">
        <f>'Fish processing'!U89</f>
        <v>2905.1990651249994</v>
      </c>
      <c r="Z28" s="774">
        <f>'Fish processing'!V89</f>
        <v>2905.1990651249994</v>
      </c>
    </row>
    <row r="29" spans="1:26" ht="19.95" customHeight="1">
      <c r="A29" s="3" t="s">
        <v>10</v>
      </c>
      <c r="B29" s="3" t="s">
        <v>11</v>
      </c>
      <c r="C29" s="3" t="s">
        <v>21</v>
      </c>
      <c r="D29" s="3" t="s">
        <v>12</v>
      </c>
      <c r="E29" s="4" t="s">
        <v>27</v>
      </c>
      <c r="F29" s="3" t="s">
        <v>0</v>
      </c>
      <c r="G29" s="3" t="s">
        <v>10</v>
      </c>
      <c r="H29" s="774">
        <f>'Fish processing'!D93</f>
        <v>560.21401327499984</v>
      </c>
      <c r="I29" s="774">
        <f>'Fish processing'!E93</f>
        <v>560.21401327499984</v>
      </c>
      <c r="J29" s="774">
        <f>'Fish processing'!F93</f>
        <v>560.21401327499984</v>
      </c>
      <c r="K29" s="774">
        <f>'Fish processing'!G93</f>
        <v>560.21401327499984</v>
      </c>
      <c r="L29" s="774">
        <f>'Fish processing'!H93</f>
        <v>560.21401327499984</v>
      </c>
      <c r="M29" s="774">
        <f>'Fish processing'!I93</f>
        <v>560.21401327499984</v>
      </c>
      <c r="N29" s="774">
        <f>'Fish processing'!J93</f>
        <v>560.21401327499984</v>
      </c>
      <c r="O29" s="774">
        <f>'Fish processing'!K93</f>
        <v>560.21401327499984</v>
      </c>
      <c r="P29" s="774">
        <f>'Fish processing'!L93</f>
        <v>560.21401327499984</v>
      </c>
      <c r="Q29" s="774">
        <f>'Fish processing'!M93</f>
        <v>560.21401327499984</v>
      </c>
      <c r="R29" s="774">
        <f>'Fish processing'!N93</f>
        <v>560.21401327499984</v>
      </c>
      <c r="S29" s="774">
        <f>'Fish processing'!O93</f>
        <v>560.21401327499984</v>
      </c>
      <c r="T29" s="774">
        <f>'Fish processing'!P93</f>
        <v>560.21401327499984</v>
      </c>
      <c r="U29" s="774">
        <f>'Fish processing'!Q93</f>
        <v>560.21401327499984</v>
      </c>
      <c r="V29" s="774">
        <f>'Fish processing'!R93</f>
        <v>560.21401327499984</v>
      </c>
      <c r="W29" s="774">
        <f>'Fish processing'!S93</f>
        <v>560.21401327499984</v>
      </c>
      <c r="X29" s="774">
        <f>'Fish processing'!T93</f>
        <v>560.21401327499984</v>
      </c>
      <c r="Y29" s="774">
        <f>'Fish processing'!U93</f>
        <v>560.21401327499984</v>
      </c>
      <c r="Z29" s="774">
        <f>'Fish processing'!V93</f>
        <v>560.21401327499984</v>
      </c>
    </row>
    <row r="30" spans="1:26" ht="19.95" customHeight="1">
      <c r="A30" s="3" t="s">
        <v>10</v>
      </c>
      <c r="B30" s="3" t="s">
        <v>22</v>
      </c>
      <c r="C30" s="3"/>
      <c r="D30" s="3" t="s">
        <v>12</v>
      </c>
      <c r="E30" s="4" t="s">
        <v>13</v>
      </c>
      <c r="F30" s="3" t="s">
        <v>0</v>
      </c>
      <c r="G30" s="3" t="s">
        <v>10</v>
      </c>
      <c r="H30" s="774">
        <f>'Domestic wastewater-CH4 '!D81</f>
        <v>63541.043817842983</v>
      </c>
      <c r="I30" s="774">
        <f>'Domestic wastewater-CH4 '!E81</f>
        <v>63429.688251210675</v>
      </c>
      <c r="J30" s="774">
        <f>'Domestic wastewater-CH4 '!F81</f>
        <v>63312.455774135211</v>
      </c>
      <c r="K30" s="774">
        <f>'Domestic wastewater-CH4 '!G81</f>
        <v>63195.378962832081</v>
      </c>
      <c r="L30" s="774">
        <f>'Domestic wastewater-CH4 '!H81</f>
        <v>63073.146344419059</v>
      </c>
      <c r="M30" s="774">
        <f>'Domestic wastewater-CH4 '!I81</f>
        <v>62944.313994209078</v>
      </c>
      <c r="N30" s="774">
        <f>'Domestic wastewater-CH4 '!J81</f>
        <v>60705.111639796109</v>
      </c>
      <c r="O30" s="774">
        <f>'Domestic wastewater-CH4 '!K81</f>
        <v>60574.410286368678</v>
      </c>
      <c r="P30" s="774">
        <f>'Domestic wastewater-CH4 '!L81</f>
        <v>60448.800440454172</v>
      </c>
      <c r="Q30" s="774">
        <f>'Domestic wastewater-CH4 '!M81</f>
        <v>60330.024076168251</v>
      </c>
      <c r="R30" s="774">
        <f>'Domestic wastewater-CH4 '!N81</f>
        <v>60219.869159346556</v>
      </c>
      <c r="S30" s="774">
        <f>'Domestic wastewater-CH4 '!O81</f>
        <v>60630.172251103118</v>
      </c>
      <c r="T30" s="774">
        <f>'Domestic wastewater-CH4 '!P81</f>
        <v>60951.050310040926</v>
      </c>
      <c r="U30" s="774">
        <f>'Domestic wastewater-CH4 '!Q81</f>
        <v>61270.174936962692</v>
      </c>
      <c r="V30" s="774">
        <f>'Domestic wastewater-CH4 '!R81</f>
        <v>61589.299563884451</v>
      </c>
      <c r="W30" s="774">
        <f>'Domestic wastewater-CH4 '!S81</f>
        <v>61908.424190806218</v>
      </c>
      <c r="X30" s="774">
        <f>'Domestic wastewater-CH4 '!T81</f>
        <v>62227.548817727984</v>
      </c>
      <c r="Y30" s="774">
        <f>'Domestic wastewater-CH4 '!U81</f>
        <v>62480.043028039712</v>
      </c>
      <c r="Z30" s="774">
        <f>'Domestic wastewater-CH4 '!V81</f>
        <v>62730.783806335385</v>
      </c>
    </row>
    <row r="31" spans="1:26" ht="19.95" customHeight="1">
      <c r="A31" s="3" t="s">
        <v>10</v>
      </c>
      <c r="B31" s="3" t="s">
        <v>22</v>
      </c>
      <c r="C31" s="3"/>
      <c r="D31" s="3" t="s">
        <v>12</v>
      </c>
      <c r="E31" s="4" t="s">
        <v>24</v>
      </c>
      <c r="F31" s="3" t="s">
        <v>0</v>
      </c>
      <c r="G31" s="3" t="s">
        <v>10</v>
      </c>
      <c r="H31" s="774">
        <f>'Domestic wastewater- N2O '!D38</f>
        <v>1501.9924688999997</v>
      </c>
      <c r="I31" s="774">
        <f>'Domestic wastewater- N2O '!E38</f>
        <v>1514.5587765</v>
      </c>
      <c r="J31" s="774">
        <f>'Domestic wastewater- N2O '!F38</f>
        <v>1526.8519034999999</v>
      </c>
      <c r="K31" s="774">
        <f>'Domestic wastewater- N2O '!G38</f>
        <v>1539.0084402</v>
      </c>
      <c r="L31" s="774">
        <f>'Domestic wastewater- N2O '!H38</f>
        <v>1557.7299435499999</v>
      </c>
      <c r="M31" s="774">
        <f>'Domestic wastewater- N2O '!I38</f>
        <v>1569.3455794500001</v>
      </c>
      <c r="N31" s="774">
        <f>'Domestic wastewater- N2O '!J38</f>
        <v>1602.7977522342499</v>
      </c>
      <c r="O31" s="774">
        <f>'Domestic wastewater- N2O '!K38</f>
        <v>1614.0699492499998</v>
      </c>
      <c r="P31" s="774">
        <f>'Domestic wastewater- N2O '!L38</f>
        <v>1625.2970937499999</v>
      </c>
      <c r="Q31" s="774">
        <f>'Domestic wastewater- N2O '!M38</f>
        <v>1636.5242382500003</v>
      </c>
      <c r="R31" s="774">
        <f>'Domestic wastewater- N2O '!N38</f>
        <v>1647.799362</v>
      </c>
      <c r="S31" s="774">
        <f>'Domestic wastewater- N2O '!O38</f>
        <v>1659.0265064999999</v>
      </c>
      <c r="T31" s="774">
        <f>'Domestic wastewater- N2O '!P38</f>
        <v>1667.8067092499998</v>
      </c>
      <c r="U31" s="774">
        <f>'Domestic wastewater- N2O '!Q38</f>
        <v>1676.53893275</v>
      </c>
      <c r="V31" s="774">
        <f>'Domestic wastewater- N2O '!R38</f>
        <v>1685.2711562500001</v>
      </c>
      <c r="W31" s="774">
        <f>'Domestic wastewater- N2O '!S38</f>
        <v>1694.0033797499996</v>
      </c>
      <c r="X31" s="774">
        <f>'Domestic wastewater- N2O '!T38</f>
        <v>1702.7356032500002</v>
      </c>
      <c r="Y31" s="774">
        <f>'Domestic wastewater- N2O '!U38</f>
        <v>1709.6446152499998</v>
      </c>
      <c r="Z31" s="774">
        <f>'Domestic wastewater- N2O '!V38</f>
        <v>1716.5056480000001</v>
      </c>
    </row>
    <row r="32" spans="1:26" ht="19.95" customHeight="1">
      <c r="A32" s="3" t="s">
        <v>10</v>
      </c>
      <c r="B32" s="3" t="s">
        <v>22</v>
      </c>
      <c r="C32" s="3"/>
      <c r="D32" s="3" t="s">
        <v>12</v>
      </c>
      <c r="E32" s="4" t="s">
        <v>25</v>
      </c>
      <c r="F32" s="3" t="s">
        <v>0</v>
      </c>
      <c r="G32" s="3" t="s">
        <v>10</v>
      </c>
      <c r="H32" s="774">
        <f>'Domestic wastewater-CH4 '!D94</f>
        <v>1799979.5855337025</v>
      </c>
      <c r="I32" s="774">
        <f>'Domestic wastewater-CH4 '!E94</f>
        <v>1801536.6739904243</v>
      </c>
      <c r="J32" s="774">
        <f>'Domestic wastewater-CH4 '!F94</f>
        <v>1802885.6613418395</v>
      </c>
      <c r="K32" s="774">
        <f>'Domestic wastewater-CH4 '!G94</f>
        <v>1804195.5746814737</v>
      </c>
      <c r="L32" s="774">
        <f>'Domestic wastewater-CH4 '!H94</f>
        <v>1807432.3557333001</v>
      </c>
      <c r="M32" s="774">
        <f>'Domestic wastewater-CH4 '!I94</f>
        <v>1808327.7235078907</v>
      </c>
      <c r="N32" s="774">
        <f>'Domestic wastewater-CH4 '!J94</f>
        <v>1771674.6476283357</v>
      </c>
      <c r="O32" s="774">
        <f>'Domestic wastewater-CH4 '!K94</f>
        <v>1772424.3002812422</v>
      </c>
      <c r="P32" s="774">
        <f>'Domestic wastewater-CH4 '!L94</f>
        <v>1773266.9083120376</v>
      </c>
      <c r="Q32" s="774">
        <f>'Domestic wastewater-CH4 '!M94</f>
        <v>1774253.0194570334</v>
      </c>
      <c r="R32" s="774">
        <f>'Domestic wastewater-CH4 '!N94</f>
        <v>1775435.0545662777</v>
      </c>
      <c r="S32" s="774">
        <f>'Domestic wastewater-CH4 '!O94</f>
        <v>1787531.8342881654</v>
      </c>
      <c r="T32" s="774">
        <f>'Domestic wastewater-CH4 '!P94</f>
        <v>1796992.1363783593</v>
      </c>
      <c r="U32" s="774">
        <f>'Domestic wastewater-CH4 '!Q94</f>
        <v>1806400.7428287165</v>
      </c>
      <c r="V32" s="774">
        <f>'Domestic wastewater-CH4 '!R94</f>
        <v>1815809.3492790735</v>
      </c>
      <c r="W32" s="774">
        <f>'Domestic wastewater-CH4 '!S94</f>
        <v>1825217.9557294303</v>
      </c>
      <c r="X32" s="774">
        <f>'Domestic wastewater-CH4 '!T94</f>
        <v>1834626.5621797876</v>
      </c>
      <c r="Y32" s="774">
        <f>'Domestic wastewater-CH4 '!U94</f>
        <v>1842070.7343163339</v>
      </c>
      <c r="Z32" s="774">
        <f>'Domestic wastewater-CH4 '!V94</f>
        <v>1849463.2108130432</v>
      </c>
    </row>
    <row r="33" spans="1:26" ht="19.95" customHeight="1">
      <c r="A33" s="3" t="s">
        <v>10</v>
      </c>
      <c r="B33" s="3" t="s">
        <v>22</v>
      </c>
      <c r="C33" s="3"/>
      <c r="D33" s="3" t="s">
        <v>12</v>
      </c>
      <c r="E33" s="4" t="s">
        <v>26</v>
      </c>
      <c r="F33" s="3" t="s">
        <v>0</v>
      </c>
      <c r="G33" s="3" t="s">
        <v>10</v>
      </c>
      <c r="H33" s="774">
        <f>'Domestic wastewater-CH4 '!D98</f>
        <v>2182839.0665275189</v>
      </c>
      <c r="I33" s="774">
        <f>'Domestic wastewater-CH4 '!E98</f>
        <v>2183162.8481932776</v>
      </c>
      <c r="J33" s="774">
        <f>'Domestic wastewater-CH4 '!F98</f>
        <v>2183248.0857538725</v>
      </c>
      <c r="K33" s="774">
        <f>'Domestic wastewater-CH4 '!G98</f>
        <v>2183300.3772376152</v>
      </c>
      <c r="L33" s="774">
        <f>'Domestic wastewater-CH4 '!H98</f>
        <v>2185001.0575984418</v>
      </c>
      <c r="M33" s="774">
        <f>'Domestic wastewater-CH4 '!I98</f>
        <v>2184577.7036282835</v>
      </c>
      <c r="N33" s="774">
        <f>'Domestic wastewater-CH4 '!J98</f>
        <v>2131236.4011102617</v>
      </c>
      <c r="O33" s="774">
        <f>'Domestic wastewater-CH4 '!K98</f>
        <v>2130667.1431349362</v>
      </c>
      <c r="P33" s="774">
        <f>'Domestic wastewater-CH4 '!L98</f>
        <v>2130227.6388824214</v>
      </c>
      <c r="Q33" s="774">
        <f>'Domestic wastewater-CH4 '!M98</f>
        <v>2129978.7887673443</v>
      </c>
      <c r="R33" s="774">
        <f>'Domestic wastewater-CH4 '!N98</f>
        <v>2129983.5753717688</v>
      </c>
      <c r="S33" s="774">
        <f>'Domestic wastewater-CH4 '!O98</f>
        <v>2144496.0420802771</v>
      </c>
      <c r="T33" s="774">
        <f>'Domestic wastewater-CH4 '!P98</f>
        <v>2155845.5352753918</v>
      </c>
      <c r="U33" s="774">
        <f>'Domestic wastewater-CH4 '!Q98</f>
        <v>2167133.009382009</v>
      </c>
      <c r="V33" s="774">
        <f>'Domestic wastewater-CH4 '!R98</f>
        <v>2178420.4834886258</v>
      </c>
      <c r="W33" s="774">
        <f>'Domestic wastewater-CH4 '!S98</f>
        <v>2189707.9575952431</v>
      </c>
      <c r="X33" s="774">
        <f>'Domestic wastewater-CH4 '!T98</f>
        <v>2200995.4317018604</v>
      </c>
      <c r="Y33" s="774">
        <f>'Domestic wastewater-CH4 '!U98</f>
        <v>2209926.1804455579</v>
      </c>
      <c r="Z33" s="774">
        <f>'Domestic wastewater-CH4 '!V98</f>
        <v>2218794.9101007571</v>
      </c>
    </row>
    <row r="34" spans="1:26" ht="19.95" customHeight="1">
      <c r="A34" s="3" t="s">
        <v>10</v>
      </c>
      <c r="B34" s="3" t="s">
        <v>22</v>
      </c>
      <c r="C34" s="3"/>
      <c r="D34" s="3" t="s">
        <v>12</v>
      </c>
      <c r="E34" s="4" t="s">
        <v>27</v>
      </c>
      <c r="F34" s="3" t="s">
        <v>0</v>
      </c>
      <c r="G34" s="3" t="s">
        <v>10</v>
      </c>
      <c r="H34" s="774">
        <f>'Domestic wastewater-CH4 '!D101</f>
        <v>691815.06099369517</v>
      </c>
      <c r="I34" s="774">
        <f>'Domestic wastewater-CH4 '!E101</f>
        <v>694143.9177160135</v>
      </c>
      <c r="J34" s="774">
        <f>'Domestic wastewater-CH4 '!F101</f>
        <v>696377.5055803475</v>
      </c>
      <c r="K34" s="774">
        <f>'Domestic wastewater-CH4 '!G101</f>
        <v>698580.10538663669</v>
      </c>
      <c r="L34" s="774">
        <f>'Domestic wastewater-CH4 '!H101</f>
        <v>702284.60418012459</v>
      </c>
      <c r="M34" s="774">
        <f>'Domestic wastewater-CH4 '!I101</f>
        <v>704297.92930069484</v>
      </c>
      <c r="N34" s="774">
        <f>'Domestic wastewater-CH4 '!J101</f>
        <v>700045.37689268333</v>
      </c>
      <c r="O34" s="774">
        <f>'Domestic wastewater-CH4 '!K101</f>
        <v>701968.62551591336</v>
      </c>
      <c r="P34" s="774">
        <f>'Domestic wastewater-CH4 '!L101</f>
        <v>703908.76921339333</v>
      </c>
      <c r="Q34" s="774">
        <f>'Domestic wastewater-CH4 '!M101</f>
        <v>705885.67704203515</v>
      </c>
      <c r="R34" s="774">
        <f>'Domestic wastewater-CH4 '!N101</f>
        <v>707920.14742328448</v>
      </c>
      <c r="S34" s="774">
        <f>'Domestic wastewater-CH4 '!O101</f>
        <v>712743.50272543472</v>
      </c>
      <c r="T34" s="774">
        <f>'Domestic wastewater-CH4 '!P101</f>
        <v>716515.61392327014</v>
      </c>
      <c r="U34" s="774">
        <f>'Domestic wastewater-CH4 '!Q101</f>
        <v>720267.1124916093</v>
      </c>
      <c r="V34" s="774">
        <f>'Domestic wastewater-CH4 '!R101</f>
        <v>724018.61105994834</v>
      </c>
      <c r="W34" s="774">
        <f>'Domestic wastewater-CH4 '!S101</f>
        <v>727770.10962828738</v>
      </c>
      <c r="X34" s="774">
        <f>'Domestic wastewater-CH4 '!T101</f>
        <v>731521.60819662653</v>
      </c>
      <c r="Y34" s="774">
        <f>'Domestic wastewater-CH4 '!U101</f>
        <v>734489.82684410363</v>
      </c>
      <c r="Z34" s="774">
        <f>'Domestic wastewater-CH4 '!V101</f>
        <v>737437.43286208436</v>
      </c>
    </row>
    <row r="35" spans="1:26" ht="19.95" customHeight="1">
      <c r="A35" s="3" t="s">
        <v>10</v>
      </c>
      <c r="B35" s="3" t="s">
        <v>23</v>
      </c>
      <c r="C35" s="3"/>
      <c r="D35" s="3" t="s">
        <v>12</v>
      </c>
      <c r="E35" s="4" t="s">
        <v>13</v>
      </c>
      <c r="F35" s="3" t="s">
        <v>0</v>
      </c>
      <c r="G35" s="3" t="s">
        <v>10</v>
      </c>
      <c r="H35" s="774">
        <f>'Solid waste emissions'!BE52</f>
        <v>5363.9926235435414</v>
      </c>
      <c r="I35" s="774">
        <f>'Solid waste emissions'!BF52</f>
        <v>4760.6970465221302</v>
      </c>
      <c r="J35" s="774">
        <f>'Solid waste emissions'!BG52</f>
        <v>4256.4799631087108</v>
      </c>
      <c r="K35" s="774">
        <f>'Solid waste emissions'!BH52</f>
        <v>3844.9151468190216</v>
      </c>
      <c r="L35" s="774">
        <f>'Solid waste emissions'!BI52</f>
        <v>3512.2433335358282</v>
      </c>
      <c r="M35" s="774">
        <f>'Solid waste emissions'!BJ52</f>
        <v>3246.8908467303659</v>
      </c>
      <c r="N35" s="774">
        <f>'Solid waste emissions'!BK52</f>
        <v>3039.1636033454752</v>
      </c>
      <c r="O35" s="774">
        <f>'Solid waste emissions'!BL52</f>
        <v>3136.0002153991163</v>
      </c>
      <c r="P35" s="774">
        <f>'Solid waste emissions'!BM52</f>
        <v>3281.2097572798612</v>
      </c>
      <c r="Q35" s="774">
        <f>'Solid waste emissions'!BN52</f>
        <v>3472.6383810362267</v>
      </c>
      <c r="R35" s="774">
        <f>'Solid waste emissions'!BO52</f>
        <v>3708.8377706631873</v>
      </c>
      <c r="S35" s="774">
        <f>'Solid waste emissions'!BP52</f>
        <v>3988.9723295172357</v>
      </c>
      <c r="T35" s="774">
        <f>'Solid waste emissions'!BQ52</f>
        <v>4312.6064404273939</v>
      </c>
      <c r="U35" s="774">
        <f>'Solid waste emissions'!BR52</f>
        <v>3638.458453705478</v>
      </c>
      <c r="V35" s="774">
        <f>'Solid waste emissions'!BS52</f>
        <v>3069.6934909805691</v>
      </c>
      <c r="W35" s="774">
        <f>'Solid waste emissions'!BT52</f>
        <v>2589.8380450027917</v>
      </c>
      <c r="X35" s="774">
        <f>'Solid waste emissions'!BU52</f>
        <v>2184.9937523245503</v>
      </c>
      <c r="Y35" s="774">
        <f>'Solid waste emissions'!BV52</f>
        <v>1843.4348460164701</v>
      </c>
      <c r="Z35" s="774">
        <f>'Solid waste emissions'!BW52</f>
        <v>1555.2685347005993</v>
      </c>
    </row>
    <row r="36" spans="1:26" ht="19.95" customHeight="1">
      <c r="A36" s="3" t="s">
        <v>10</v>
      </c>
      <c r="B36" s="3" t="s">
        <v>23</v>
      </c>
      <c r="C36" s="3"/>
      <c r="D36" s="3" t="s">
        <v>12</v>
      </c>
      <c r="E36" s="4" t="s">
        <v>25</v>
      </c>
      <c r="F36" s="3" t="s">
        <v>0</v>
      </c>
      <c r="G36" s="3" t="s">
        <v>10</v>
      </c>
      <c r="H36" s="774">
        <f>'Solid waste emissions'!BE57</f>
        <v>112643.84509441437</v>
      </c>
      <c r="I36" s="774">
        <f>'Solid waste emissions'!BF57</f>
        <v>99974.637976964732</v>
      </c>
      <c r="J36" s="774">
        <f>'Solid waste emissions'!BG57</f>
        <v>89386.079225282927</v>
      </c>
      <c r="K36" s="774">
        <f>'Solid waste emissions'!BH57</f>
        <v>80743.218083199448</v>
      </c>
      <c r="L36" s="774">
        <f>'Solid waste emissions'!BI57</f>
        <v>73757.11000425239</v>
      </c>
      <c r="M36" s="774">
        <f>'Solid waste emissions'!BJ57</f>
        <v>68184.707781337682</v>
      </c>
      <c r="N36" s="774">
        <f>'Solid waste emissions'!BK57</f>
        <v>63822.435670254978</v>
      </c>
      <c r="O36" s="774">
        <f>'Solid waste emissions'!BL57</f>
        <v>65856.004523381445</v>
      </c>
      <c r="P36" s="774">
        <f>'Solid waste emissions'!BM57</f>
        <v>68905.404902877082</v>
      </c>
      <c r="Q36" s="774">
        <f>'Solid waste emissions'!BN57</f>
        <v>72925.406001760755</v>
      </c>
      <c r="R36" s="774">
        <f>'Solid waste emissions'!BO57</f>
        <v>77885.593183926932</v>
      </c>
      <c r="S36" s="774">
        <f>'Solid waste emissions'!BP57</f>
        <v>83768.418919861957</v>
      </c>
      <c r="T36" s="774">
        <f>'Solid waste emissions'!BQ57</f>
        <v>90564.735248975267</v>
      </c>
      <c r="U36" s="774">
        <f>'Solid waste emissions'!BR57</f>
        <v>76407.627527815042</v>
      </c>
      <c r="V36" s="774">
        <f>'Solid waste emissions'!BS57</f>
        <v>64463.563310591948</v>
      </c>
      <c r="W36" s="774">
        <f>'Solid waste emissions'!BT57</f>
        <v>54386.598945058628</v>
      </c>
      <c r="X36" s="774">
        <f>'Solid waste emissions'!BU57</f>
        <v>45884.868798815558</v>
      </c>
      <c r="Y36" s="774">
        <f>'Solid waste emissions'!BV57</f>
        <v>38712.131766345876</v>
      </c>
      <c r="Z36" s="774">
        <f>'Solid waste emissions'!BW57</f>
        <v>32660.639228712585</v>
      </c>
    </row>
    <row r="37" spans="1:26" ht="19.95" customHeight="1">
      <c r="A37" s="3" t="s">
        <v>10</v>
      </c>
      <c r="B37" s="3" t="s">
        <v>23</v>
      </c>
      <c r="C37" s="3"/>
      <c r="D37" s="3" t="s">
        <v>12</v>
      </c>
      <c r="E37" s="4" t="s">
        <v>26</v>
      </c>
      <c r="F37" s="3" t="s">
        <v>0</v>
      </c>
      <c r="G37" s="3" t="s">
        <v>10</v>
      </c>
      <c r="H37" s="774">
        <f>'Solid waste emissions'!BE62</f>
        <v>3142763.2781341607</v>
      </c>
      <c r="I37" s="774">
        <f>'Solid waste emissions'!BF62</f>
        <v>2789292.3995573157</v>
      </c>
      <c r="J37" s="774">
        <f>'Solid waste emissions'!BG62</f>
        <v>2493871.6103853937</v>
      </c>
      <c r="K37" s="774">
        <f>'Solid waste emissions'!BH62</f>
        <v>2252735.7845212645</v>
      </c>
      <c r="L37" s="774">
        <f>'Solid waste emissions'!BI62</f>
        <v>2057823.3691186416</v>
      </c>
      <c r="M37" s="774">
        <f>'Solid waste emissions'!BJ62</f>
        <v>1902353.3470993212</v>
      </c>
      <c r="N37" s="774">
        <f>'Solid waste emissions'!BK62</f>
        <v>1780645.9552001138</v>
      </c>
      <c r="O37" s="774">
        <f>'Solid waste emissions'!BL62</f>
        <v>1837382.5262023422</v>
      </c>
      <c r="P37" s="774">
        <f>'Solid waste emissions'!BM62</f>
        <v>1922460.7967902706</v>
      </c>
      <c r="Q37" s="774">
        <f>'Solid waste emissions'!BN62</f>
        <v>2034618.827449125</v>
      </c>
      <c r="R37" s="774">
        <f>'Solid waste emissions'!BO62</f>
        <v>2173008.0498315613</v>
      </c>
      <c r="S37" s="774">
        <f>'Solid waste emissions'!BP62</f>
        <v>2337138.8878641487</v>
      </c>
      <c r="T37" s="774">
        <f>'Solid waste emissions'!BQ62</f>
        <v>2526756.1134464098</v>
      </c>
      <c r="U37" s="774">
        <f>'Solid waste emissions'!BR62</f>
        <v>2131772.8080260395</v>
      </c>
      <c r="V37" s="774">
        <f>'Solid waste emissions'!BS62</f>
        <v>1798533.4163655152</v>
      </c>
      <c r="W37" s="774">
        <f>'Solid waste emissions'!BT62</f>
        <v>1517386.1105671357</v>
      </c>
      <c r="X37" s="774">
        <f>'Solid waste emissions'!BU62</f>
        <v>1280187.839486954</v>
      </c>
      <c r="Y37" s="774">
        <f>'Solid waste emissions'!BV62</f>
        <v>1080068.4762810499</v>
      </c>
      <c r="Z37" s="774">
        <f>'Solid waste emissions'!BW62</f>
        <v>911231.83448108111</v>
      </c>
    </row>
    <row r="38" spans="1:26" ht="19.95" customHeight="1">
      <c r="A38" s="3" t="s">
        <v>10</v>
      </c>
      <c r="B38" s="3" t="s">
        <v>23</v>
      </c>
      <c r="C38" s="3"/>
      <c r="D38" s="3" t="s">
        <v>12</v>
      </c>
      <c r="E38" s="4" t="s">
        <v>27</v>
      </c>
      <c r="F38" s="3" t="s">
        <v>0</v>
      </c>
      <c r="G38" s="3" t="s">
        <v>10</v>
      </c>
      <c r="H38" s="774">
        <f>'Solid waste emissions'!BE67</f>
        <v>28858.280314664251</v>
      </c>
      <c r="I38" s="774">
        <f>'Solid waste emissions'!BF67</f>
        <v>25612.550110289059</v>
      </c>
      <c r="J38" s="774">
        <f>'Solid waste emissions'!BG67</f>
        <v>22899.862201524862</v>
      </c>
      <c r="K38" s="774">
        <f>'Solid waste emissions'!BH67</f>
        <v>20685.643489886337</v>
      </c>
      <c r="L38" s="774">
        <f>'Solid waste emissions'!BI67</f>
        <v>18895.869134422755</v>
      </c>
      <c r="M38" s="774">
        <f>'Solid waste emissions'!BJ67</f>
        <v>17468.272755409369</v>
      </c>
      <c r="N38" s="774">
        <f>'Solid waste emissions'!BK67</f>
        <v>16350.700185998656</v>
      </c>
      <c r="O38" s="774">
        <f>'Solid waste emissions'!BL67</f>
        <v>16871.681158847245</v>
      </c>
      <c r="P38" s="774">
        <f>'Solid waste emissions'!BM67</f>
        <v>17652.908494165651</v>
      </c>
      <c r="Q38" s="774">
        <f>'Solid waste emissions'!BN67</f>
        <v>18682.794489974898</v>
      </c>
      <c r="R38" s="774">
        <f>'Solid waste emissions'!BO67</f>
        <v>19953.547206167947</v>
      </c>
      <c r="S38" s="774">
        <f>'Solid waste emissions'!BP67</f>
        <v>21460.671132802727</v>
      </c>
      <c r="T38" s="774">
        <f>'Solid waste emissions'!BQ67</f>
        <v>23201.82264949938</v>
      </c>
      <c r="U38" s="774">
        <f>'Solid waste emissions'!BR67</f>
        <v>19574.906480935471</v>
      </c>
      <c r="V38" s="774">
        <f>'Solid waste emissions'!BS67</f>
        <v>16514.95098147546</v>
      </c>
      <c r="W38" s="774">
        <f>'Solid waste emissions'!BT67</f>
        <v>13933.32868211502</v>
      </c>
      <c r="X38" s="774">
        <f>'Solid waste emissions'!BU67</f>
        <v>11755.266387506081</v>
      </c>
      <c r="Y38" s="774">
        <f>'Solid waste emissions'!BV67</f>
        <v>9917.6794715686101</v>
      </c>
      <c r="Z38" s="774">
        <f>'Solid waste emissions'!BW67</f>
        <v>8367.3447166892238</v>
      </c>
    </row>
    <row r="39" spans="1:26" ht="19.95" customHeight="1">
      <c r="H39" s="9"/>
      <c r="I39" s="9"/>
      <c r="J39" s="9"/>
      <c r="K39" s="9"/>
      <c r="L39" s="9"/>
      <c r="M39" s="9"/>
      <c r="N39" s="9"/>
      <c r="O39" s="9"/>
      <c r="P39" s="9"/>
      <c r="Q39" s="9"/>
      <c r="R39" s="9"/>
      <c r="S39" s="9"/>
      <c r="T39" s="9"/>
      <c r="U39" s="9"/>
      <c r="V39" s="9"/>
      <c r="W39" s="9"/>
      <c r="X39" s="9"/>
    </row>
    <row r="40" spans="1:26" ht="19.95" customHeight="1">
      <c r="H40" s="9"/>
      <c r="I40" s="9"/>
      <c r="J40" s="9"/>
      <c r="K40" s="9"/>
      <c r="L40" s="9"/>
      <c r="M40" s="9"/>
      <c r="N40" s="9"/>
      <c r="O40" s="9"/>
      <c r="P40" s="9"/>
      <c r="Q40" s="9"/>
      <c r="R40" s="9"/>
      <c r="S40" s="9"/>
      <c r="T40" s="9"/>
      <c r="U40" s="9"/>
      <c r="V40" s="9"/>
      <c r="W40" s="9"/>
      <c r="X40" s="9"/>
    </row>
    <row r="41" spans="1:26" ht="19.95" customHeight="1">
      <c r="H41" s="9"/>
      <c r="I41" s="9"/>
      <c r="J41" s="9"/>
      <c r="K41" s="9"/>
      <c r="L41" s="9"/>
      <c r="M41" s="9"/>
      <c r="N41" s="9"/>
      <c r="O41" s="9"/>
      <c r="P41" s="9"/>
      <c r="Q41" s="9"/>
      <c r="R41" s="9"/>
      <c r="S41" s="9"/>
      <c r="T41" s="9"/>
      <c r="U41" s="9"/>
      <c r="V41" s="9"/>
      <c r="W41" s="9"/>
      <c r="X41" s="9"/>
    </row>
    <row r="42" spans="1:26" ht="19.95" customHeight="1">
      <c r="H42" s="9"/>
      <c r="I42" s="9"/>
      <c r="J42" s="9"/>
      <c r="K42" s="9"/>
      <c r="L42" s="9"/>
      <c r="M42" s="9"/>
      <c r="N42" s="9"/>
      <c r="O42" s="9"/>
      <c r="P42" s="9"/>
      <c r="Q42" s="9"/>
      <c r="R42" s="9"/>
      <c r="S42" s="9"/>
      <c r="T42" s="9"/>
      <c r="U42" s="9"/>
      <c r="V42" s="9"/>
      <c r="W42" s="9"/>
      <c r="X42" s="9"/>
    </row>
    <row r="43" spans="1:26" ht="19.95" customHeight="1">
      <c r="H43" s="9"/>
      <c r="I43" s="9"/>
      <c r="J43" s="9"/>
      <c r="K43" s="9"/>
      <c r="L43" s="9"/>
      <c r="M43" s="9"/>
      <c r="N43" s="9"/>
      <c r="O43" s="9"/>
      <c r="P43" s="9"/>
      <c r="Q43" s="9"/>
      <c r="R43" s="9"/>
      <c r="S43" s="9"/>
      <c r="T43" s="9"/>
      <c r="U43" s="9"/>
      <c r="V43" s="9"/>
      <c r="W43" s="9"/>
      <c r="X43" s="9"/>
    </row>
    <row r="44" spans="1:26" ht="19.95" customHeight="1">
      <c r="H44" s="9"/>
      <c r="I44" s="9"/>
      <c r="J44" s="9"/>
      <c r="K44" s="9"/>
      <c r="L44" s="9"/>
      <c r="M44" s="9"/>
      <c r="N44" s="9"/>
      <c r="O44" s="9"/>
      <c r="P44" s="9"/>
      <c r="Q44" s="9"/>
      <c r="R44" s="9"/>
      <c r="S44" s="9"/>
      <c r="T44" s="9"/>
      <c r="U44" s="9"/>
      <c r="V44" s="9"/>
      <c r="W44" s="9"/>
      <c r="X44" s="9"/>
    </row>
    <row r="45" spans="1:26" ht="19.95" customHeight="1">
      <c r="H45" s="9"/>
      <c r="I45" s="9"/>
      <c r="J45" s="9"/>
      <c r="K45" s="9"/>
      <c r="L45" s="9"/>
      <c r="M45" s="9"/>
      <c r="N45" s="9"/>
      <c r="O45" s="9"/>
      <c r="P45" s="9"/>
      <c r="Q45" s="9"/>
      <c r="R45" s="9"/>
      <c r="S45" s="9"/>
      <c r="T45" s="9"/>
      <c r="U45" s="9"/>
      <c r="V45" s="9"/>
      <c r="W45" s="9"/>
      <c r="X45" s="9"/>
    </row>
    <row r="46" spans="1:26" ht="19.95" customHeight="1">
      <c r="H46" s="9"/>
      <c r="I46" s="9"/>
      <c r="J46" s="9"/>
      <c r="K46" s="9"/>
      <c r="L46" s="9"/>
      <c r="M46" s="9"/>
      <c r="N46" s="9"/>
      <c r="O46" s="9"/>
      <c r="P46" s="9"/>
      <c r="Q46" s="9"/>
      <c r="R46" s="9"/>
      <c r="S46" s="9"/>
      <c r="T46" s="9"/>
      <c r="U46" s="9"/>
      <c r="V46" s="9"/>
      <c r="W46" s="9"/>
      <c r="X46" s="9"/>
    </row>
    <row r="47" spans="1:26" ht="19.95" customHeight="1">
      <c r="H47" s="9"/>
      <c r="I47" s="9"/>
      <c r="J47" s="9"/>
      <c r="K47" s="9"/>
      <c r="L47" s="9"/>
      <c r="M47" s="9"/>
      <c r="N47" s="9"/>
      <c r="O47" s="9"/>
      <c r="P47" s="9"/>
      <c r="Q47" s="9"/>
      <c r="R47" s="9"/>
      <c r="S47" s="9"/>
      <c r="T47" s="9"/>
      <c r="U47" s="9"/>
      <c r="V47" s="9"/>
      <c r="W47" s="9"/>
      <c r="X47" s="9"/>
    </row>
    <row r="48" spans="1:26" ht="19.95" customHeight="1">
      <c r="H48" s="9"/>
      <c r="I48" s="9"/>
      <c r="J48" s="9"/>
      <c r="K48" s="9"/>
      <c r="L48" s="9"/>
      <c r="M48" s="9"/>
      <c r="N48" s="9"/>
      <c r="O48" s="9"/>
      <c r="P48" s="9"/>
      <c r="Q48" s="9"/>
      <c r="R48" s="9"/>
      <c r="S48" s="9"/>
      <c r="T48" s="9"/>
      <c r="U48" s="9"/>
      <c r="V48" s="9"/>
      <c r="W48" s="9"/>
      <c r="X48" s="9"/>
    </row>
    <row r="49" spans="8:24" ht="19.95" customHeight="1">
      <c r="H49" s="9"/>
      <c r="I49" s="9"/>
      <c r="J49" s="9"/>
      <c r="K49" s="9"/>
      <c r="L49" s="9"/>
      <c r="M49" s="9"/>
      <c r="N49" s="9"/>
      <c r="O49" s="9"/>
      <c r="P49" s="9"/>
      <c r="Q49" s="9"/>
      <c r="R49" s="9"/>
      <c r="S49" s="9"/>
      <c r="T49" s="9"/>
      <c r="U49" s="9"/>
      <c r="V49" s="9"/>
      <c r="W49" s="9"/>
      <c r="X49" s="9"/>
    </row>
    <row r="50" spans="8:24" ht="19.95" customHeight="1">
      <c r="H50" s="9"/>
      <c r="I50" s="9"/>
      <c r="J50" s="9"/>
      <c r="K50" s="9"/>
      <c r="L50" s="9"/>
      <c r="M50" s="9"/>
      <c r="N50" s="9"/>
      <c r="O50" s="9"/>
      <c r="P50" s="9"/>
      <c r="Q50" s="9"/>
      <c r="R50" s="9"/>
      <c r="S50" s="9"/>
      <c r="T50" s="9"/>
      <c r="U50" s="9"/>
      <c r="V50" s="9"/>
      <c r="W50" s="9"/>
      <c r="X50" s="9"/>
    </row>
    <row r="51" spans="8:24" ht="19.95" customHeight="1">
      <c r="H51" s="9"/>
      <c r="I51" s="9"/>
      <c r="J51" s="9"/>
      <c r="K51" s="9"/>
      <c r="L51" s="9"/>
      <c r="M51" s="9"/>
      <c r="N51" s="9"/>
      <c r="O51" s="9"/>
      <c r="P51" s="9"/>
      <c r="Q51" s="9"/>
      <c r="R51" s="9"/>
      <c r="S51" s="9"/>
      <c r="T51" s="9"/>
      <c r="U51" s="9"/>
      <c r="V51" s="9"/>
      <c r="W51" s="9"/>
      <c r="X51" s="9"/>
    </row>
    <row r="52" spans="8:24" ht="19.95" customHeight="1">
      <c r="H52" s="9"/>
      <c r="I52" s="9"/>
      <c r="J52" s="9"/>
      <c r="K52" s="9"/>
      <c r="L52" s="9"/>
      <c r="M52" s="9"/>
      <c r="N52" s="9"/>
      <c r="O52" s="9"/>
      <c r="P52" s="9"/>
      <c r="Q52" s="9"/>
      <c r="R52" s="9"/>
      <c r="S52" s="9"/>
      <c r="T52" s="9"/>
      <c r="U52" s="9"/>
      <c r="V52" s="9"/>
      <c r="W52" s="9"/>
      <c r="X52" s="9"/>
    </row>
    <row r="53" spans="8:24" ht="19.95" customHeight="1">
      <c r="H53" s="9"/>
      <c r="I53" s="9"/>
      <c r="J53" s="9"/>
      <c r="K53" s="9"/>
      <c r="L53" s="9"/>
      <c r="M53" s="9"/>
      <c r="N53" s="9"/>
      <c r="O53" s="9"/>
      <c r="P53" s="9"/>
      <c r="Q53" s="9"/>
      <c r="R53" s="9"/>
      <c r="S53" s="9"/>
      <c r="T53" s="9"/>
      <c r="U53" s="9"/>
      <c r="V53" s="9"/>
      <c r="W53" s="9"/>
      <c r="X53" s="9"/>
    </row>
    <row r="54" spans="8:24" ht="19.95" customHeight="1">
      <c r="H54" s="9"/>
      <c r="I54" s="9"/>
      <c r="J54" s="9"/>
      <c r="K54" s="9"/>
      <c r="L54" s="9"/>
      <c r="M54" s="9"/>
      <c r="N54" s="9"/>
      <c r="O54" s="9"/>
      <c r="P54" s="9"/>
      <c r="Q54" s="9"/>
      <c r="R54" s="9"/>
      <c r="S54" s="9"/>
      <c r="T54" s="9"/>
      <c r="U54" s="9"/>
      <c r="V54" s="9"/>
      <c r="W54" s="9"/>
      <c r="X54" s="9"/>
    </row>
    <row r="55" spans="8:24" ht="19.95" customHeight="1">
      <c r="H55" s="9"/>
      <c r="I55" s="9"/>
      <c r="J55" s="9"/>
      <c r="K55" s="9"/>
      <c r="L55" s="9"/>
      <c r="M55" s="9"/>
      <c r="N55" s="9"/>
      <c r="O55" s="9"/>
      <c r="P55" s="9"/>
      <c r="Q55" s="9"/>
      <c r="R55" s="9"/>
      <c r="S55" s="9"/>
      <c r="T55" s="9"/>
      <c r="U55" s="9"/>
      <c r="V55" s="9"/>
      <c r="W55" s="9"/>
      <c r="X55" s="9"/>
    </row>
    <row r="56" spans="8:24" ht="19.95" customHeight="1">
      <c r="H56" s="9"/>
      <c r="I56" s="9"/>
      <c r="J56" s="9"/>
      <c r="K56" s="9"/>
      <c r="L56" s="9"/>
      <c r="M56" s="9"/>
      <c r="N56" s="9"/>
      <c r="O56" s="9"/>
      <c r="P56" s="9"/>
      <c r="Q56" s="9"/>
      <c r="R56" s="9"/>
      <c r="S56" s="9"/>
      <c r="T56" s="9"/>
      <c r="U56" s="9"/>
      <c r="V56" s="9"/>
      <c r="W56" s="9"/>
      <c r="X56" s="9"/>
    </row>
    <row r="57" spans="8:24" ht="19.95" customHeight="1">
      <c r="H57" s="9"/>
      <c r="I57" s="9"/>
      <c r="J57" s="9"/>
      <c r="K57" s="9"/>
      <c r="L57" s="9"/>
      <c r="M57" s="9"/>
      <c r="N57" s="9"/>
      <c r="O57" s="9"/>
      <c r="P57" s="9"/>
      <c r="Q57" s="9"/>
      <c r="R57" s="9"/>
      <c r="S57" s="9"/>
      <c r="T57" s="9"/>
      <c r="U57" s="9"/>
      <c r="V57" s="9"/>
      <c r="W57" s="9"/>
      <c r="X57" s="9"/>
    </row>
    <row r="58" spans="8:24" ht="19.95" customHeight="1">
      <c r="H58" s="9"/>
      <c r="I58" s="9"/>
      <c r="J58" s="9"/>
      <c r="K58" s="9"/>
      <c r="L58" s="9"/>
      <c r="M58" s="9"/>
      <c r="N58" s="9"/>
      <c r="O58" s="9"/>
      <c r="P58" s="9"/>
      <c r="Q58" s="9"/>
      <c r="R58" s="9"/>
      <c r="S58" s="9"/>
      <c r="T58" s="9"/>
      <c r="U58" s="9"/>
      <c r="V58" s="9"/>
      <c r="W58" s="9"/>
      <c r="X58" s="9"/>
    </row>
    <row r="59" spans="8:24" ht="19.95" customHeight="1">
      <c r="H59" s="9"/>
      <c r="I59" s="9"/>
      <c r="J59" s="9"/>
      <c r="K59" s="9"/>
      <c r="L59" s="9"/>
      <c r="M59" s="9"/>
      <c r="N59" s="9"/>
      <c r="O59" s="9"/>
      <c r="P59" s="9"/>
      <c r="Q59" s="9"/>
      <c r="R59" s="9"/>
      <c r="S59" s="9"/>
      <c r="T59" s="9"/>
      <c r="U59" s="9"/>
      <c r="V59" s="9"/>
      <c r="W59" s="9"/>
      <c r="X59" s="9"/>
    </row>
    <row r="60" spans="8:24" ht="19.95" customHeight="1"/>
    <row r="61" spans="8:24" ht="19.95" customHeight="1"/>
    <row r="62" spans="8:24" ht="19.95" customHeight="1"/>
    <row r="63" spans="8:24" ht="19.95" customHeight="1"/>
    <row r="64" spans="8:24" ht="19.95" customHeight="1"/>
    <row r="65" ht="19.95" customHeight="1"/>
    <row r="66" ht="19.95" customHeight="1"/>
    <row r="67" ht="19.95" customHeight="1"/>
    <row r="68" ht="19.95" customHeight="1"/>
    <row r="69" ht="19.95" customHeight="1"/>
    <row r="70" ht="19.95" customHeight="1"/>
    <row r="71" ht="19.95" customHeight="1"/>
    <row r="72" ht="19.95" customHeight="1"/>
    <row r="73" ht="19.95" customHeight="1"/>
    <row r="74" ht="19.95" customHeight="1"/>
    <row r="75" ht="19.95" customHeight="1"/>
    <row r="76" ht="19.95" customHeight="1"/>
    <row r="77" ht="19.95" customHeight="1"/>
    <row r="78" ht="19.95" customHeight="1"/>
    <row r="79" ht="19.95" customHeight="1"/>
    <row r="80" ht="19.95" customHeight="1"/>
    <row r="81" ht="19.95" customHeight="1"/>
    <row r="82" ht="19.95" customHeight="1"/>
    <row r="83" ht="19.95" customHeight="1"/>
    <row r="84" ht="19.95" customHeight="1"/>
    <row r="85" ht="19.95" customHeight="1"/>
    <row r="86" ht="19.95" customHeight="1"/>
    <row r="87" ht="19.95" customHeight="1"/>
    <row r="88" ht="19.95" customHeight="1"/>
    <row r="89" ht="19.95" customHeight="1"/>
    <row r="90" ht="19.95" customHeight="1"/>
    <row r="91" ht="19.95" customHeight="1"/>
    <row r="92" ht="19.95" customHeight="1"/>
    <row r="93" ht="19.95" customHeight="1"/>
    <row r="94" ht="19.95" customHeight="1"/>
    <row r="95" ht="19.95" customHeight="1"/>
    <row r="96" ht="19.95" customHeight="1"/>
    <row r="97" ht="19.95" customHeight="1"/>
    <row r="98" ht="19.95" customHeight="1"/>
    <row r="99" ht="19.95" customHeight="1"/>
    <row r="100" ht="19.95" customHeight="1"/>
    <row r="101" ht="19.95" customHeight="1"/>
    <row r="102" ht="19.95" customHeight="1"/>
    <row r="103" ht="19.95" customHeight="1"/>
    <row r="104" ht="19.95" customHeight="1"/>
    <row r="105" ht="19.95" customHeight="1"/>
    <row r="106" ht="19.95" customHeight="1"/>
    <row r="107" ht="19.95" customHeight="1"/>
    <row r="108" ht="19.95" customHeight="1"/>
    <row r="109" ht="19.95" customHeight="1"/>
    <row r="110" ht="19.95" customHeight="1"/>
    <row r="111" ht="19.95" customHeight="1"/>
    <row r="112" ht="19.95" customHeight="1"/>
    <row r="113" ht="19.95" customHeight="1"/>
    <row r="114" ht="19.95" customHeight="1"/>
    <row r="115" ht="19.95" customHeight="1"/>
    <row r="116" ht="19.95" customHeight="1"/>
    <row r="117" ht="19.95" customHeight="1"/>
    <row r="118" ht="19.95" customHeight="1"/>
    <row r="119" ht="19.95" customHeight="1"/>
    <row r="120" ht="19.95" customHeight="1"/>
    <row r="121" ht="19.95" customHeight="1"/>
    <row r="122" ht="19.95" customHeight="1"/>
    <row r="123" ht="19.95" customHeight="1"/>
    <row r="124" ht="19.95" customHeight="1"/>
    <row r="125" ht="19.95" customHeight="1"/>
    <row r="126" ht="19.95" customHeight="1"/>
    <row r="127" ht="19.95" customHeight="1"/>
    <row r="128" ht="19.95" customHeight="1"/>
    <row r="129" ht="19.95" customHeight="1"/>
    <row r="130" ht="19.95" customHeight="1"/>
    <row r="131" ht="19.95" customHeight="1"/>
    <row r="132" ht="19.95" customHeight="1"/>
    <row r="133" ht="19.95" customHeight="1"/>
    <row r="134" ht="19.95" customHeight="1"/>
    <row r="135" ht="19.95" customHeight="1"/>
    <row r="136" ht="19.95" customHeight="1"/>
    <row r="137" ht="19.95" customHeight="1"/>
    <row r="138" ht="19.95" customHeight="1"/>
    <row r="139" ht="19.95" customHeight="1"/>
    <row r="140" ht="19.95" customHeight="1"/>
    <row r="141" ht="19.95" customHeight="1"/>
    <row r="142" ht="19.95" customHeight="1"/>
    <row r="143" ht="19.95" customHeight="1"/>
    <row r="144" ht="19.95" customHeight="1"/>
    <row r="145" ht="19.95" customHeight="1"/>
    <row r="146" ht="19.95" customHeight="1"/>
    <row r="147" ht="19.95" customHeight="1"/>
    <row r="148" ht="19.95" customHeight="1"/>
    <row r="149" ht="19.95" customHeight="1"/>
    <row r="150" ht="19.95" customHeight="1"/>
    <row r="151" ht="19.95" customHeight="1"/>
    <row r="152" ht="19.95" customHeight="1"/>
    <row r="153" ht="19.95" customHeight="1"/>
    <row r="154" ht="19.95" customHeight="1"/>
    <row r="155" ht="19.95" customHeight="1"/>
    <row r="156" ht="19.95" customHeight="1"/>
    <row r="157" ht="19.95" customHeight="1"/>
    <row r="158" ht="19.95" customHeight="1"/>
    <row r="159" ht="19.95" customHeight="1"/>
    <row r="160" ht="19.95" customHeight="1"/>
    <row r="161" ht="19.95" customHeight="1"/>
    <row r="162" ht="19.95" customHeight="1"/>
    <row r="163" ht="19.95" customHeight="1"/>
    <row r="164" ht="19.95" customHeight="1"/>
    <row r="165" ht="19.95" customHeight="1"/>
    <row r="166" ht="19.95" customHeight="1"/>
    <row r="167" ht="19.95" customHeight="1"/>
    <row r="168" ht="19.95" customHeight="1"/>
    <row r="169" ht="19.95" customHeight="1"/>
    <row r="170" ht="19.95" customHeight="1"/>
    <row r="171" ht="19.95" customHeight="1"/>
    <row r="172" ht="19.95" customHeight="1"/>
    <row r="173" ht="19.95" customHeight="1"/>
    <row r="174" ht="19.95" customHeight="1"/>
    <row r="175" ht="19.95" customHeight="1"/>
    <row r="176" ht="19.95" customHeight="1"/>
    <row r="177" ht="19.95" customHeight="1"/>
    <row r="178" ht="19.95" customHeight="1"/>
    <row r="179" ht="19.95" customHeight="1"/>
    <row r="180" ht="19.95" customHeight="1"/>
    <row r="181" ht="19.95" customHeight="1"/>
    <row r="182" ht="19.95" customHeight="1"/>
    <row r="183" ht="19.95" customHeight="1"/>
    <row r="184" ht="19.95" customHeight="1"/>
    <row r="185" ht="19.95" customHeight="1"/>
    <row r="186" ht="19.95" customHeight="1"/>
    <row r="187" ht="19.95" customHeight="1"/>
    <row r="188" ht="19.95" customHeight="1"/>
    <row r="189" ht="19.95" customHeight="1"/>
    <row r="190" ht="19.95" customHeight="1"/>
    <row r="191" ht="19.95" customHeight="1"/>
    <row r="192" ht="19.95" customHeight="1"/>
    <row r="193" ht="19.95" customHeight="1"/>
    <row r="194" ht="19.95" customHeight="1"/>
    <row r="195" ht="19.95" customHeight="1"/>
    <row r="196" ht="19.95" customHeight="1"/>
    <row r="197" ht="19.95" customHeight="1"/>
    <row r="198" ht="19.95" customHeight="1"/>
    <row r="199" ht="19.95" customHeight="1"/>
    <row r="200" ht="19.95" customHeight="1"/>
    <row r="201" ht="19.95" customHeight="1"/>
    <row r="202" ht="19.95" customHeight="1"/>
    <row r="203" ht="19.95" customHeight="1"/>
    <row r="204" ht="19.95" customHeight="1"/>
    <row r="205" ht="19.95" customHeight="1"/>
    <row r="206" ht="19.95" customHeight="1"/>
    <row r="207" ht="19.95" customHeight="1"/>
    <row r="208" ht="19.95" customHeight="1"/>
    <row r="209" ht="19.95" customHeight="1"/>
    <row r="210" ht="19.95" customHeight="1"/>
    <row r="211" ht="19.95" customHeight="1"/>
    <row r="212" ht="19.95" customHeight="1"/>
    <row r="213" ht="19.95" customHeight="1"/>
    <row r="214" ht="19.95" customHeight="1"/>
    <row r="215" ht="19.95" customHeight="1"/>
    <row r="216" ht="19.95" customHeight="1"/>
    <row r="217" ht="19.95" customHeight="1"/>
    <row r="218" ht="19.95" customHeight="1"/>
    <row r="219" ht="19.95" customHeight="1"/>
    <row r="220" ht="19.95" customHeight="1"/>
    <row r="221" ht="19.95" customHeight="1"/>
    <row r="222" ht="19.95" customHeight="1"/>
    <row r="223" ht="19.95" customHeight="1"/>
    <row r="224" ht="19.95" customHeight="1"/>
    <row r="225" ht="19.95" customHeight="1"/>
    <row r="226" ht="19.95" customHeight="1"/>
    <row r="227" ht="19.95" customHeight="1"/>
    <row r="228" ht="19.95" customHeight="1"/>
    <row r="229" ht="19.95" customHeight="1"/>
    <row r="230" ht="19.95" customHeight="1"/>
    <row r="231" ht="19.95" customHeight="1"/>
    <row r="232" ht="19.95" customHeight="1"/>
    <row r="233" ht="19.95" customHeight="1"/>
    <row r="234" ht="19.95" customHeight="1"/>
    <row r="235" ht="19.95" customHeight="1"/>
    <row r="236" ht="19.95" customHeight="1"/>
    <row r="237" ht="19.95" customHeight="1"/>
    <row r="238" ht="19.95" customHeight="1"/>
    <row r="239" ht="19.95" customHeight="1"/>
    <row r="240" ht="19.95" customHeight="1"/>
    <row r="241" ht="19.95" customHeight="1"/>
    <row r="242" ht="19.95" customHeight="1"/>
    <row r="243" ht="19.95" customHeight="1"/>
    <row r="244" ht="19.95" customHeight="1"/>
    <row r="245" ht="19.95" customHeight="1"/>
    <row r="246" ht="19.95" customHeight="1"/>
    <row r="247" ht="19.95" customHeight="1"/>
    <row r="248" ht="19.95" customHeight="1"/>
    <row r="249" ht="19.95" customHeight="1"/>
    <row r="250" ht="19.95" customHeight="1"/>
    <row r="251" ht="19.95" customHeight="1"/>
    <row r="252" ht="19.95" customHeight="1"/>
    <row r="253" ht="19.95" customHeight="1"/>
    <row r="254" ht="19.95" customHeight="1"/>
    <row r="255" ht="19.95" customHeight="1"/>
    <row r="256" ht="19.95" customHeight="1"/>
    <row r="257" ht="19.95" customHeight="1"/>
    <row r="258" ht="19.95" customHeight="1"/>
    <row r="259" ht="19.95" customHeight="1"/>
    <row r="260" ht="19.95" customHeight="1"/>
    <row r="261" ht="19.95" customHeight="1"/>
    <row r="262" ht="19.95" customHeight="1"/>
    <row r="263" ht="19.95" customHeight="1"/>
    <row r="264" ht="19.95" customHeight="1"/>
    <row r="265" ht="19.95" customHeight="1"/>
    <row r="266" ht="19.95" customHeight="1"/>
    <row r="267" ht="19.95" customHeight="1"/>
    <row r="268" ht="19.95" customHeight="1"/>
    <row r="269" ht="19.95" customHeight="1"/>
    <row r="270" ht="19.95" customHeight="1"/>
    <row r="271" ht="19.95" customHeight="1"/>
    <row r="272" ht="19.95" customHeight="1"/>
    <row r="273" ht="19.95" customHeight="1"/>
    <row r="274" ht="19.95" customHeight="1"/>
    <row r="275" ht="19.95" customHeight="1"/>
    <row r="276" ht="19.95" customHeight="1"/>
    <row r="277" ht="19.95" customHeight="1"/>
    <row r="278" ht="19.95" customHeight="1"/>
    <row r="279" ht="19.95" customHeight="1"/>
    <row r="280" ht="19.95" customHeight="1"/>
    <row r="281" ht="19.95" customHeight="1"/>
    <row r="282" ht="19.95" customHeight="1"/>
    <row r="283" ht="19.95" customHeight="1"/>
    <row r="284" ht="19.95" customHeight="1"/>
    <row r="285" ht="19.95" customHeight="1"/>
    <row r="286" ht="19.95" customHeight="1"/>
    <row r="287" ht="19.95" customHeight="1"/>
    <row r="288" ht="19.95" customHeight="1"/>
    <row r="289" ht="19.95" customHeight="1"/>
    <row r="290" ht="19.95" customHeight="1"/>
    <row r="291" ht="19.95" customHeight="1"/>
    <row r="292" ht="19.95" customHeight="1"/>
    <row r="293" ht="19.95" customHeight="1"/>
    <row r="294" ht="19.95" customHeight="1"/>
    <row r="295" ht="19.95" customHeight="1"/>
    <row r="296" ht="19.95" customHeight="1"/>
    <row r="297" ht="19.95" customHeight="1"/>
    <row r="298" ht="19.95" customHeight="1"/>
    <row r="299" ht="19.95" customHeight="1"/>
    <row r="300" ht="19.95" customHeight="1"/>
    <row r="301" ht="19.95" customHeight="1"/>
    <row r="302" ht="19.95" customHeight="1"/>
    <row r="303" ht="19.95" customHeight="1"/>
    <row r="304" ht="19.95" customHeight="1"/>
    <row r="305" ht="19.95" customHeight="1"/>
    <row r="306" ht="19.95" customHeight="1"/>
    <row r="307" ht="19.95" customHeight="1"/>
    <row r="308" ht="19.95" customHeight="1"/>
    <row r="309" ht="19.95" customHeight="1"/>
    <row r="310" ht="19.95" customHeight="1"/>
    <row r="311" ht="19.95" customHeight="1"/>
    <row r="312" ht="19.95" customHeight="1"/>
    <row r="313" ht="19.95" customHeight="1"/>
    <row r="314" ht="19.95" customHeight="1"/>
    <row r="315" ht="19.95" customHeight="1"/>
    <row r="316" ht="19.95" customHeight="1"/>
    <row r="317" ht="19.95" customHeight="1"/>
    <row r="318" ht="19.95" customHeight="1"/>
    <row r="319" ht="19.95" customHeight="1"/>
    <row r="320" ht="19.95" customHeight="1"/>
    <row r="321" ht="19.95" customHeight="1"/>
    <row r="322" ht="19.95" customHeight="1"/>
    <row r="323" ht="19.95" customHeight="1"/>
    <row r="324" ht="19.95" customHeight="1"/>
    <row r="325" ht="19.95" customHeight="1"/>
    <row r="326" ht="19.95" customHeight="1"/>
    <row r="327" ht="19.95" customHeight="1"/>
    <row r="328" ht="19.95" customHeight="1"/>
    <row r="329" ht="19.95" customHeight="1"/>
    <row r="330" ht="19.95" customHeight="1"/>
    <row r="331" ht="19.95" customHeight="1"/>
    <row r="332" ht="19.95" customHeight="1"/>
    <row r="333" ht="19.95" customHeight="1"/>
    <row r="334" ht="19.95" customHeight="1"/>
    <row r="335" ht="19.95" customHeight="1"/>
    <row r="336" ht="19.95" customHeight="1"/>
    <row r="337" ht="19.95" customHeight="1"/>
    <row r="338" ht="19.95" customHeight="1"/>
    <row r="339" ht="19.95" customHeight="1"/>
    <row r="340" ht="19.95" customHeight="1"/>
    <row r="341" ht="19.95" customHeight="1"/>
    <row r="342" ht="19.95" customHeight="1"/>
    <row r="343" ht="19.95" customHeight="1"/>
    <row r="344" ht="19.95" customHeight="1"/>
    <row r="345" ht="19.95" customHeight="1"/>
    <row r="346" ht="19.95" customHeight="1"/>
    <row r="347" ht="19.95" customHeight="1"/>
    <row r="348" ht="19.95" customHeight="1"/>
    <row r="349" ht="19.95" customHeight="1"/>
    <row r="350" ht="19.95" customHeight="1"/>
    <row r="351" ht="19.95" customHeight="1"/>
    <row r="352" ht="19.95" customHeight="1"/>
    <row r="353" ht="19.95" customHeight="1"/>
    <row r="354" ht="19.95" customHeight="1"/>
    <row r="355" ht="19.95" customHeight="1"/>
    <row r="356" ht="19.95" customHeight="1"/>
    <row r="357" ht="19.95" customHeight="1"/>
    <row r="358" ht="19.95" customHeight="1"/>
    <row r="359" ht="19.95" customHeight="1"/>
    <row r="360" ht="19.95" customHeight="1"/>
    <row r="361" ht="19.95" customHeight="1"/>
    <row r="362" ht="19.95" customHeight="1"/>
    <row r="363" ht="19.95" customHeight="1"/>
    <row r="364" ht="19.95" customHeight="1"/>
    <row r="365" ht="19.95" customHeight="1"/>
    <row r="366" ht="19.95" customHeight="1"/>
    <row r="367" ht="19.95" customHeight="1"/>
    <row r="368" ht="19.95" customHeight="1"/>
    <row r="369" ht="19.95" customHeight="1"/>
    <row r="370" ht="19.95" customHeight="1"/>
    <row r="371" ht="19.95" customHeight="1"/>
    <row r="372" ht="19.95" customHeight="1"/>
    <row r="373" ht="19.95" customHeight="1"/>
    <row r="374" ht="19.95" customHeight="1"/>
    <row r="375" ht="19.95" customHeight="1"/>
    <row r="376" ht="19.95" customHeight="1"/>
    <row r="377" ht="19.95" customHeight="1"/>
    <row r="378" ht="19.95" customHeight="1"/>
    <row r="379" ht="19.95" customHeight="1"/>
    <row r="380" ht="19.95" customHeight="1"/>
    <row r="381" ht="19.95" customHeight="1"/>
    <row r="382" ht="19.95" customHeight="1"/>
    <row r="383" ht="19.95" customHeight="1"/>
    <row r="384" ht="19.95" customHeight="1"/>
    <row r="385" ht="19.95" customHeight="1"/>
    <row r="386" ht="19.95" customHeight="1"/>
    <row r="387" ht="19.95" customHeight="1"/>
    <row r="388" ht="19.95" customHeight="1"/>
    <row r="389" ht="19.95" customHeight="1"/>
    <row r="390" ht="19.95" customHeight="1"/>
    <row r="391" ht="19.95" customHeight="1"/>
    <row r="392" ht="19.95" customHeight="1"/>
    <row r="393" ht="19.95" customHeight="1"/>
    <row r="394" ht="19.95" customHeight="1"/>
    <row r="395" ht="19.95" customHeight="1"/>
    <row r="396" ht="19.95" customHeight="1"/>
    <row r="397" ht="19.95" customHeight="1"/>
    <row r="398" ht="19.95" customHeight="1"/>
    <row r="399" ht="19.95" customHeight="1"/>
    <row r="400" ht="19.95" customHeight="1"/>
    <row r="401" ht="19.95" customHeight="1"/>
    <row r="402" ht="19.95" customHeight="1"/>
    <row r="403" ht="19.95" customHeight="1"/>
    <row r="404" ht="19.95" customHeight="1"/>
    <row r="405" ht="19.95" customHeight="1"/>
    <row r="406" ht="19.95" customHeight="1"/>
    <row r="407" ht="19.95" customHeight="1"/>
    <row r="408" ht="19.95" customHeight="1"/>
    <row r="409" ht="19.95" customHeight="1"/>
    <row r="410" ht="19.95" customHeight="1"/>
    <row r="411" ht="19.95" customHeight="1"/>
    <row r="412" ht="19.95" customHeight="1"/>
    <row r="413" ht="19.95" customHeight="1"/>
    <row r="414" ht="19.95" customHeight="1"/>
    <row r="415" ht="19.95" customHeight="1"/>
    <row r="416" ht="19.95" customHeight="1"/>
    <row r="417" ht="19.95" customHeight="1"/>
    <row r="418" ht="19.95" customHeight="1"/>
    <row r="419" ht="19.95" customHeight="1"/>
    <row r="420" ht="19.95" customHeight="1"/>
    <row r="421" ht="19.95" customHeight="1"/>
    <row r="422" ht="19.95" customHeight="1"/>
    <row r="423" ht="19.95" customHeight="1"/>
    <row r="424" ht="19.95" customHeight="1"/>
    <row r="425" ht="19.95" customHeight="1"/>
    <row r="426" ht="19.95" customHeight="1"/>
    <row r="427" ht="19.95" customHeight="1"/>
    <row r="428" ht="19.95" customHeight="1"/>
    <row r="429" ht="19.95" customHeight="1"/>
    <row r="430" ht="19.95" customHeight="1"/>
    <row r="431" ht="19.95" customHeight="1"/>
    <row r="432" ht="19.95" customHeight="1"/>
    <row r="433" ht="19.95" customHeight="1"/>
    <row r="434" ht="19.95" customHeight="1"/>
    <row r="435" ht="19.95" customHeight="1"/>
    <row r="436" ht="19.95" customHeight="1"/>
    <row r="437" ht="19.95" customHeight="1"/>
    <row r="438" ht="19.95" customHeight="1"/>
    <row r="439" ht="19.95" customHeight="1"/>
    <row r="440" ht="19.95" customHeight="1"/>
    <row r="441" ht="19.95" customHeight="1"/>
    <row r="442" ht="19.95" customHeight="1"/>
    <row r="443" ht="19.95" customHeight="1"/>
    <row r="444" ht="19.95" customHeight="1"/>
    <row r="445" ht="19.95" customHeight="1"/>
    <row r="446" ht="19.95" customHeight="1"/>
    <row r="447" ht="19.95" customHeight="1"/>
    <row r="448" ht="19.95" customHeight="1"/>
    <row r="449" ht="19.95" customHeight="1"/>
    <row r="450" ht="19.95" customHeight="1"/>
    <row r="451" ht="19.95" customHeight="1"/>
    <row r="452" ht="19.95" customHeight="1"/>
    <row r="453" ht="19.95" customHeight="1"/>
    <row r="454" ht="19.95" customHeight="1"/>
    <row r="455" ht="19.95" customHeight="1"/>
    <row r="456" ht="19.95" customHeight="1"/>
    <row r="457" ht="19.95" customHeight="1"/>
    <row r="458" ht="19.95" customHeight="1"/>
    <row r="459" ht="19.95" customHeight="1"/>
    <row r="460" ht="19.95" customHeight="1"/>
    <row r="461" ht="19.95" customHeight="1"/>
    <row r="462" ht="19.95" customHeight="1"/>
    <row r="463" ht="19.95" customHeight="1"/>
    <row r="464" ht="19.95" customHeight="1"/>
    <row r="465" ht="19.95" customHeight="1"/>
    <row r="466" ht="19.95" customHeight="1"/>
    <row r="467" ht="19.95" customHeight="1"/>
    <row r="468" ht="19.95" customHeight="1"/>
    <row r="469" ht="19.95" customHeight="1"/>
    <row r="470" ht="19.95" customHeight="1"/>
    <row r="471" ht="19.95" customHeight="1"/>
    <row r="472" ht="19.95" customHeight="1"/>
    <row r="473" ht="19.95" customHeight="1"/>
    <row r="474" ht="19.95" customHeight="1"/>
    <row r="475" ht="19.95" customHeight="1"/>
    <row r="476" ht="19.95" customHeight="1"/>
    <row r="477" ht="19.95" customHeight="1"/>
    <row r="478" ht="19.95" customHeight="1"/>
    <row r="479" ht="19.95" customHeight="1"/>
    <row r="480" ht="19.95" customHeight="1"/>
    <row r="481" ht="19.95" customHeight="1"/>
    <row r="482" ht="19.95" customHeight="1"/>
    <row r="483" ht="19.95" customHeight="1"/>
    <row r="484" ht="19.95" customHeight="1"/>
    <row r="485" ht="19.95" customHeight="1"/>
    <row r="486" ht="19.95" customHeight="1"/>
    <row r="487" ht="19.95" customHeight="1"/>
    <row r="488" ht="19.95" customHeight="1"/>
    <row r="489" ht="19.95" customHeight="1"/>
    <row r="490" ht="19.95" customHeight="1"/>
    <row r="491" ht="19.95" customHeight="1"/>
    <row r="492" ht="19.95" customHeight="1"/>
    <row r="493" ht="19.95" customHeight="1"/>
    <row r="494" ht="19.95" customHeight="1"/>
    <row r="495" ht="19.95" customHeight="1"/>
    <row r="496" ht="19.95" customHeight="1"/>
    <row r="497" ht="19.95" customHeight="1"/>
    <row r="498" ht="19.95" customHeight="1"/>
    <row r="499" ht="19.95" customHeight="1"/>
    <row r="500" ht="19.95" customHeight="1"/>
    <row r="501" ht="19.95" customHeight="1"/>
    <row r="502" ht="19.95" customHeight="1"/>
    <row r="503" ht="19.95" customHeight="1"/>
    <row r="504" ht="19.95" customHeight="1"/>
    <row r="505" ht="19.95" customHeight="1"/>
    <row r="506" ht="19.95" customHeight="1"/>
    <row r="507" ht="19.95" customHeight="1"/>
    <row r="508" ht="19.95" customHeight="1"/>
    <row r="509" ht="19.95" customHeight="1"/>
    <row r="510" ht="19.95" customHeight="1"/>
    <row r="511" ht="19.95" customHeight="1"/>
    <row r="512" ht="19.95" customHeight="1"/>
    <row r="513" ht="19.95" customHeight="1"/>
    <row r="514" ht="19.95" customHeight="1"/>
    <row r="515" ht="19.95" customHeight="1"/>
    <row r="516" ht="19.95" customHeight="1"/>
    <row r="517" ht="19.95" customHeight="1"/>
    <row r="518" ht="19.95" customHeight="1"/>
    <row r="519" ht="19.95" customHeight="1"/>
    <row r="520" ht="19.95" customHeight="1"/>
    <row r="521" ht="19.95" customHeight="1"/>
    <row r="522" ht="19.95" customHeight="1"/>
    <row r="523" ht="19.95" customHeight="1"/>
    <row r="524" ht="19.95" customHeight="1"/>
    <row r="525" ht="19.95" customHeight="1"/>
    <row r="526" ht="19.95" customHeight="1"/>
    <row r="527" ht="19.95" customHeight="1"/>
    <row r="528" ht="19.95" customHeight="1"/>
    <row r="529" ht="19.95" customHeight="1"/>
    <row r="530" ht="19.95" customHeight="1"/>
    <row r="531" ht="19.95" customHeight="1"/>
    <row r="532" ht="19.95" customHeight="1"/>
    <row r="533" ht="19.95" customHeight="1"/>
    <row r="534" ht="19.95" customHeight="1"/>
    <row r="535" ht="19.95" customHeight="1"/>
    <row r="536" ht="19.95" customHeight="1"/>
    <row r="537" ht="19.95" customHeight="1"/>
    <row r="538" ht="19.95" customHeight="1"/>
    <row r="539" ht="19.95" customHeight="1"/>
    <row r="540" ht="19.95" customHeight="1"/>
    <row r="541" ht="19.95" customHeight="1"/>
    <row r="542" ht="19.95" customHeight="1"/>
    <row r="543" ht="19.95" customHeight="1"/>
    <row r="544" ht="19.95" customHeight="1"/>
    <row r="545" ht="19.95" customHeight="1"/>
    <row r="546" ht="19.95" customHeight="1"/>
    <row r="547" ht="19.95" customHeight="1"/>
    <row r="548" ht="19.95" customHeight="1"/>
    <row r="549" ht="19.95" customHeight="1"/>
    <row r="550" ht="19.95" customHeight="1"/>
    <row r="551" ht="19.95" customHeight="1"/>
    <row r="552" ht="19.95" customHeight="1"/>
    <row r="553" ht="19.95" customHeight="1"/>
    <row r="554" ht="19.95" customHeight="1"/>
  </sheetData>
  <autoFilter ref="A1:X38" xr:uid="{CCD30821-5C29-4937-99FE-0839D644AD26}"/>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B77A-60AA-4A32-8F0C-64402051AE66}">
  <sheetPr>
    <tabColor theme="5" tint="0.59999389629810485"/>
    <outlinePr summaryBelow="0" summaryRight="0"/>
  </sheetPr>
  <dimension ref="A1:Z1006"/>
  <sheetViews>
    <sheetView topLeftCell="A3" workbookViewId="0">
      <selection activeCell="F16" sqref="F16"/>
    </sheetView>
  </sheetViews>
  <sheetFormatPr defaultColWidth="12.6640625" defaultRowHeight="15" customHeight="1"/>
  <cols>
    <col min="1" max="2" width="12.6640625" style="535" customWidth="1"/>
    <col min="3" max="3" width="21.21875" style="535" customWidth="1"/>
    <col min="4" max="6" width="12.6640625" style="535" customWidth="1"/>
    <col min="7" max="16384" width="12.6640625" style="535"/>
  </cols>
  <sheetData>
    <row r="1" spans="1:26" ht="15.75" customHeight="1">
      <c r="A1" s="646"/>
      <c r="B1" s="646"/>
      <c r="C1" s="646"/>
      <c r="D1" s="646"/>
      <c r="E1" s="646"/>
      <c r="F1" s="646"/>
      <c r="G1" s="646"/>
      <c r="H1" s="646"/>
      <c r="I1" s="646"/>
      <c r="J1" s="646"/>
      <c r="K1" s="646"/>
      <c r="L1" s="646"/>
      <c r="M1" s="646"/>
      <c r="N1" s="646"/>
      <c r="O1" s="646"/>
      <c r="P1" s="646"/>
      <c r="Q1" s="646"/>
      <c r="R1" s="646"/>
      <c r="S1" s="646"/>
      <c r="T1" s="646"/>
      <c r="U1" s="646"/>
      <c r="V1" s="646"/>
      <c r="W1" s="646"/>
      <c r="X1" s="646"/>
      <c r="Y1" s="646"/>
      <c r="Z1" s="646"/>
    </row>
    <row r="2" spans="1:26" ht="15.75" customHeight="1">
      <c r="A2" s="646"/>
      <c r="B2" s="646" t="s">
        <v>613</v>
      </c>
      <c r="C2" s="646"/>
      <c r="D2" s="646"/>
      <c r="E2" s="646"/>
      <c r="F2" s="646"/>
      <c r="G2" s="646"/>
      <c r="H2" s="646"/>
      <c r="I2" s="646"/>
      <c r="J2" s="646"/>
      <c r="K2" s="646"/>
      <c r="L2" s="646"/>
      <c r="M2" s="646"/>
      <c r="N2" s="646"/>
      <c r="O2" s="646"/>
      <c r="P2" s="646"/>
      <c r="Q2" s="646"/>
      <c r="R2" s="646"/>
      <c r="S2" s="646"/>
      <c r="T2" s="646"/>
      <c r="U2" s="646"/>
      <c r="V2" s="646"/>
      <c r="W2" s="646"/>
      <c r="X2" s="646"/>
      <c r="Y2" s="646"/>
      <c r="Z2" s="646"/>
    </row>
    <row r="3" spans="1:26" ht="15.75" customHeight="1">
      <c r="A3" s="646"/>
      <c r="B3" s="646"/>
      <c r="C3" s="646"/>
      <c r="D3" s="646"/>
      <c r="E3" s="646"/>
      <c r="F3" s="646"/>
      <c r="G3" s="646"/>
      <c r="H3" s="646"/>
      <c r="I3" s="646"/>
      <c r="J3" s="646"/>
      <c r="K3" s="646"/>
      <c r="L3" s="646"/>
      <c r="M3" s="646"/>
      <c r="N3" s="646"/>
      <c r="O3" s="646"/>
      <c r="P3" s="646"/>
      <c r="Q3" s="646"/>
      <c r="R3" s="646"/>
      <c r="S3" s="646"/>
      <c r="T3" s="646"/>
      <c r="U3" s="646"/>
      <c r="V3" s="646"/>
      <c r="W3" s="646"/>
      <c r="X3" s="646"/>
      <c r="Y3" s="646"/>
      <c r="Z3" s="646"/>
    </row>
    <row r="4" spans="1:26" ht="15.75" customHeight="1">
      <c r="A4" s="646"/>
      <c r="B4" s="658" t="s">
        <v>614</v>
      </c>
      <c r="C4" s="658" t="s">
        <v>615</v>
      </c>
      <c r="D4" s="646"/>
      <c r="L4" s="659"/>
      <c r="M4" s="646"/>
      <c r="N4" s="646"/>
      <c r="O4" s="646"/>
      <c r="P4" s="646"/>
      <c r="Q4" s="646"/>
      <c r="R4" s="646"/>
      <c r="S4" s="646"/>
      <c r="T4" s="646"/>
      <c r="U4" s="646"/>
      <c r="V4" s="646"/>
      <c r="W4" s="646"/>
      <c r="X4" s="646"/>
      <c r="Y4" s="646"/>
      <c r="Z4" s="646"/>
    </row>
    <row r="5" spans="1:26" ht="15.75" customHeight="1">
      <c r="A5" s="646"/>
      <c r="B5" s="660">
        <v>1951</v>
      </c>
      <c r="C5" s="660">
        <v>1825832</v>
      </c>
      <c r="D5" s="646"/>
      <c r="E5" s="659"/>
      <c r="F5" s="646"/>
      <c r="G5" s="646"/>
      <c r="H5" s="646"/>
      <c r="I5" s="646"/>
      <c r="J5" s="646"/>
      <c r="K5" s="646"/>
      <c r="L5" s="646"/>
      <c r="M5" s="646"/>
      <c r="N5" s="646"/>
      <c r="O5" s="646"/>
      <c r="P5" s="646"/>
      <c r="Q5" s="646"/>
      <c r="R5" s="646"/>
      <c r="S5" s="646"/>
    </row>
    <row r="6" spans="1:26" ht="15.75" customHeight="1">
      <c r="A6" s="646"/>
      <c r="B6" s="660">
        <v>1961</v>
      </c>
      <c r="C6" s="660">
        <v>2554141</v>
      </c>
      <c r="D6" s="646"/>
      <c r="E6" s="659"/>
      <c r="F6" s="646"/>
      <c r="G6" s="646"/>
      <c r="H6" s="646"/>
      <c r="I6" s="646"/>
      <c r="J6" s="646"/>
      <c r="K6" s="646"/>
      <c r="L6" s="646"/>
      <c r="M6" s="646"/>
      <c r="N6" s="646"/>
      <c r="O6" s="646"/>
      <c r="P6" s="646"/>
      <c r="Q6" s="646"/>
      <c r="R6" s="646"/>
      <c r="S6" s="646"/>
    </row>
    <row r="7" spans="1:26" ht="15.75" customHeight="1">
      <c r="A7" s="646"/>
      <c r="B7" s="660">
        <v>1971</v>
      </c>
      <c r="C7" s="660">
        <v>3466449</v>
      </c>
      <c r="D7" s="646"/>
      <c r="E7" s="646"/>
      <c r="F7" s="646"/>
      <c r="G7" s="646"/>
      <c r="H7" s="646"/>
      <c r="I7" s="646"/>
      <c r="J7" s="646"/>
      <c r="K7" s="646"/>
      <c r="L7" s="646"/>
      <c r="M7" s="646"/>
      <c r="N7" s="646"/>
      <c r="O7" s="646"/>
      <c r="P7" s="646"/>
      <c r="Q7" s="646"/>
      <c r="R7" s="646"/>
      <c r="S7" s="646"/>
    </row>
    <row r="8" spans="1:26" ht="15.75" customHeight="1">
      <c r="A8" s="646"/>
      <c r="B8" s="660">
        <v>1981</v>
      </c>
      <c r="C8" s="660">
        <v>4771275</v>
      </c>
      <c r="D8" s="646"/>
      <c r="E8" s="646"/>
      <c r="G8" s="646"/>
      <c r="H8" s="646"/>
      <c r="I8" s="646"/>
      <c r="J8" s="646"/>
      <c r="K8" s="646"/>
      <c r="L8" s="646"/>
      <c r="M8" s="646"/>
      <c r="N8" s="646"/>
      <c r="O8" s="646"/>
      <c r="P8" s="646"/>
      <c r="Q8" s="646"/>
      <c r="R8" s="646"/>
      <c r="S8" s="646"/>
      <c r="T8" s="646"/>
      <c r="U8" s="646"/>
      <c r="V8" s="646"/>
      <c r="W8" s="646"/>
      <c r="X8" s="646"/>
      <c r="Y8" s="646"/>
      <c r="Z8" s="646"/>
    </row>
    <row r="9" spans="1:26" ht="15.75" customHeight="1">
      <c r="A9" s="646"/>
      <c r="B9" s="660">
        <v>1991</v>
      </c>
      <c r="C9" s="660">
        <v>7680294</v>
      </c>
      <c r="D9" s="646"/>
      <c r="E9" s="646"/>
      <c r="F9" s="646"/>
      <c r="G9" s="646"/>
      <c r="H9" s="646"/>
      <c r="I9" s="646"/>
      <c r="J9" s="646"/>
      <c r="K9" s="646"/>
      <c r="L9" s="646"/>
      <c r="M9" s="646"/>
      <c r="N9" s="646"/>
      <c r="O9" s="646"/>
      <c r="P9" s="646"/>
      <c r="Q9" s="646"/>
      <c r="R9" s="646"/>
      <c r="S9" s="646"/>
      <c r="T9" s="646"/>
      <c r="U9" s="646"/>
      <c r="V9" s="646"/>
      <c r="W9" s="646"/>
      <c r="X9" s="646"/>
      <c r="Y9" s="646"/>
      <c r="Z9" s="646"/>
    </row>
    <row r="10" spans="1:26" ht="15.75" customHeight="1">
      <c r="A10" s="646"/>
      <c r="B10" s="660">
        <v>2001</v>
      </c>
      <c r="C10" s="660">
        <v>8266925</v>
      </c>
      <c r="D10" s="646"/>
      <c r="E10" s="646"/>
      <c r="F10" s="646"/>
      <c r="G10" s="646"/>
      <c r="H10" s="646"/>
      <c r="I10" s="646"/>
      <c r="J10" s="646"/>
      <c r="K10" s="646"/>
      <c r="L10" s="646"/>
      <c r="M10" s="646"/>
      <c r="N10" s="646"/>
      <c r="O10" s="646"/>
      <c r="P10" s="646"/>
      <c r="Q10" s="646"/>
      <c r="R10" s="646"/>
      <c r="S10" s="646"/>
      <c r="T10" s="646"/>
      <c r="U10" s="646"/>
      <c r="V10" s="646"/>
      <c r="W10" s="646"/>
      <c r="X10" s="646"/>
      <c r="Y10" s="646"/>
      <c r="Z10" s="646"/>
    </row>
    <row r="11" spans="1:26" ht="15.75" customHeight="1">
      <c r="A11" s="646"/>
      <c r="B11" s="660">
        <v>2002</v>
      </c>
      <c r="C11" s="660">
        <v>8329000</v>
      </c>
      <c r="D11" s="646"/>
      <c r="E11" s="646"/>
      <c r="F11" s="646"/>
      <c r="G11" s="646"/>
      <c r="H11" s="646"/>
      <c r="I11" s="646"/>
      <c r="J11" s="646"/>
      <c r="K11" s="646"/>
      <c r="L11" s="646"/>
      <c r="M11" s="646"/>
      <c r="N11" s="646"/>
      <c r="O11" s="646"/>
      <c r="P11" s="646"/>
      <c r="Q11" s="646"/>
      <c r="R11" s="646"/>
      <c r="S11" s="646"/>
      <c r="T11" s="646"/>
      <c r="U11" s="646"/>
      <c r="V11" s="646"/>
      <c r="W11" s="646"/>
      <c r="X11" s="646"/>
      <c r="Y11" s="646"/>
      <c r="Z11" s="646"/>
    </row>
    <row r="12" spans="1:26" ht="15.75" customHeight="1">
      <c r="A12" s="646"/>
      <c r="B12" s="660">
        <v>2003</v>
      </c>
      <c r="C12" s="660">
        <v>8390000</v>
      </c>
      <c r="D12" s="646"/>
      <c r="E12" s="646"/>
      <c r="F12" s="646"/>
      <c r="G12" s="646"/>
      <c r="H12" s="646"/>
      <c r="I12" s="646"/>
      <c r="J12" s="646"/>
      <c r="K12" s="646"/>
      <c r="L12" s="646"/>
      <c r="M12" s="646"/>
      <c r="N12" s="646"/>
      <c r="O12" s="646"/>
      <c r="P12" s="646"/>
      <c r="Q12" s="646"/>
      <c r="R12" s="646"/>
      <c r="S12" s="646"/>
      <c r="T12" s="646"/>
      <c r="U12" s="646"/>
      <c r="V12" s="646"/>
      <c r="W12" s="646"/>
      <c r="X12" s="646"/>
      <c r="Y12" s="646"/>
      <c r="Z12" s="646"/>
    </row>
    <row r="13" spans="1:26" ht="15.75" customHeight="1">
      <c r="A13" s="646"/>
      <c r="B13" s="660">
        <v>2004</v>
      </c>
      <c r="C13" s="660">
        <v>8450000</v>
      </c>
      <c r="D13" s="646"/>
      <c r="E13" s="646"/>
      <c r="F13" s="646"/>
      <c r="G13" s="646"/>
      <c r="H13" s="646"/>
      <c r="I13" s="646"/>
      <c r="J13" s="646"/>
      <c r="K13" s="646"/>
      <c r="L13" s="646"/>
      <c r="M13" s="646"/>
      <c r="N13" s="646"/>
      <c r="O13" s="646"/>
      <c r="P13" s="646"/>
      <c r="Q13" s="646"/>
      <c r="R13" s="646"/>
      <c r="S13" s="646"/>
      <c r="T13" s="646"/>
      <c r="U13" s="646"/>
      <c r="V13" s="646"/>
      <c r="W13" s="646"/>
      <c r="X13" s="646"/>
      <c r="Y13" s="646"/>
      <c r="Z13" s="646"/>
    </row>
    <row r="14" spans="1:26" ht="15.75" customHeight="1">
      <c r="A14" s="646"/>
      <c r="B14" s="660">
        <v>2005</v>
      </c>
      <c r="C14" s="660">
        <v>8508000</v>
      </c>
      <c r="D14" s="646"/>
      <c r="E14" s="646"/>
      <c r="F14" s="646"/>
      <c r="G14" s="646"/>
      <c r="H14" s="646"/>
      <c r="I14" s="646"/>
      <c r="J14" s="646"/>
      <c r="K14" s="646"/>
      <c r="L14" s="646"/>
      <c r="M14" s="646"/>
      <c r="N14" s="646"/>
      <c r="O14" s="646"/>
      <c r="P14" s="646"/>
      <c r="Q14" s="646"/>
      <c r="R14" s="646"/>
      <c r="S14" s="646"/>
      <c r="T14" s="646"/>
      <c r="U14" s="646"/>
      <c r="V14" s="646"/>
      <c r="W14" s="646"/>
      <c r="X14" s="646"/>
      <c r="Y14" s="646"/>
      <c r="Z14" s="646"/>
    </row>
    <row r="15" spans="1:26" ht="15.75" customHeight="1">
      <c r="A15" s="646"/>
      <c r="B15" s="660">
        <v>2006</v>
      </c>
      <c r="C15" s="660">
        <v>8565000</v>
      </c>
      <c r="D15" s="646"/>
      <c r="E15" s="646"/>
      <c r="F15" s="646"/>
      <c r="G15" s="646"/>
      <c r="H15" s="646"/>
      <c r="I15" s="646"/>
      <c r="J15" s="646"/>
      <c r="K15" s="646"/>
      <c r="L15" s="646"/>
      <c r="M15" s="646"/>
      <c r="N15" s="646"/>
      <c r="O15" s="646"/>
      <c r="P15" s="646"/>
      <c r="Q15" s="646"/>
      <c r="R15" s="646"/>
      <c r="S15" s="646"/>
      <c r="T15" s="646"/>
      <c r="U15" s="646"/>
      <c r="V15" s="646"/>
      <c r="W15" s="646"/>
      <c r="X15" s="646"/>
      <c r="Y15" s="646"/>
      <c r="Z15" s="646"/>
    </row>
    <row r="16" spans="1:26" ht="15.75" customHeight="1">
      <c r="A16" s="646"/>
      <c r="B16" s="660">
        <v>2007</v>
      </c>
      <c r="C16" s="660">
        <v>8621000</v>
      </c>
      <c r="D16" s="646"/>
      <c r="E16" s="646"/>
      <c r="F16" s="646"/>
      <c r="G16" s="646"/>
      <c r="H16" s="646"/>
      <c r="I16" s="646"/>
      <c r="J16" s="646"/>
      <c r="K16" s="646"/>
      <c r="L16" s="646"/>
      <c r="M16" s="646"/>
      <c r="N16" s="646"/>
      <c r="O16" s="646"/>
      <c r="P16" s="646"/>
      <c r="Q16" s="646"/>
      <c r="R16" s="646"/>
      <c r="S16" s="646"/>
      <c r="T16" s="646"/>
      <c r="U16" s="646"/>
      <c r="V16" s="646"/>
      <c r="W16" s="646"/>
      <c r="X16" s="646"/>
      <c r="Y16" s="646"/>
      <c r="Z16" s="646"/>
    </row>
    <row r="17" spans="1:26" ht="15.75" customHeight="1">
      <c r="A17" s="646"/>
      <c r="B17" s="660">
        <v>2008</v>
      </c>
      <c r="C17" s="660">
        <v>8675000</v>
      </c>
      <c r="D17" s="646"/>
      <c r="E17" s="646"/>
      <c r="F17" s="646"/>
      <c r="G17" s="646"/>
      <c r="H17" s="646"/>
      <c r="I17" s="646"/>
      <c r="J17" s="646"/>
      <c r="K17" s="646"/>
      <c r="L17" s="646"/>
      <c r="M17" s="646"/>
      <c r="N17" s="646"/>
      <c r="O17" s="646"/>
      <c r="P17" s="646"/>
      <c r="Q17" s="646"/>
      <c r="R17" s="646"/>
      <c r="S17" s="646"/>
      <c r="T17" s="646"/>
      <c r="U17" s="646"/>
      <c r="V17" s="646"/>
      <c r="W17" s="646"/>
      <c r="X17" s="646"/>
      <c r="Y17" s="646"/>
      <c r="Z17" s="646"/>
    </row>
    <row r="18" spans="1:26" ht="15.75" customHeight="1">
      <c r="A18" s="646"/>
      <c r="B18" s="660">
        <v>2009</v>
      </c>
      <c r="C18" s="660">
        <v>8727000</v>
      </c>
      <c r="D18" s="646"/>
      <c r="E18" s="646"/>
      <c r="F18" s="646"/>
      <c r="G18" s="646"/>
      <c r="H18" s="646"/>
      <c r="I18" s="646"/>
      <c r="J18" s="646"/>
      <c r="K18" s="646"/>
      <c r="L18" s="646"/>
      <c r="M18" s="646"/>
      <c r="N18" s="646"/>
      <c r="O18" s="646"/>
      <c r="P18" s="646"/>
      <c r="Q18" s="646"/>
      <c r="R18" s="646"/>
      <c r="S18" s="646"/>
      <c r="T18" s="646"/>
      <c r="U18" s="646"/>
      <c r="V18" s="646"/>
      <c r="W18" s="646"/>
      <c r="X18" s="646"/>
      <c r="Y18" s="646"/>
      <c r="Z18" s="646"/>
    </row>
    <row r="19" spans="1:26" ht="15.75" customHeight="1">
      <c r="A19" s="646"/>
      <c r="B19" s="660">
        <v>2010</v>
      </c>
      <c r="C19" s="660">
        <v>8778000</v>
      </c>
      <c r="D19" s="646"/>
      <c r="E19" s="646"/>
      <c r="F19" s="646"/>
      <c r="G19" s="646"/>
      <c r="H19" s="646"/>
      <c r="I19" s="646"/>
      <c r="J19" s="646"/>
      <c r="K19" s="646"/>
      <c r="L19" s="646"/>
      <c r="M19" s="646"/>
      <c r="N19" s="646"/>
      <c r="O19" s="646"/>
      <c r="P19" s="646"/>
      <c r="Q19" s="646"/>
      <c r="R19" s="646"/>
      <c r="S19" s="646"/>
      <c r="T19" s="646"/>
      <c r="U19" s="646"/>
      <c r="V19" s="646"/>
      <c r="W19" s="646"/>
      <c r="X19" s="646"/>
      <c r="Y19" s="646"/>
      <c r="Z19" s="646"/>
    </row>
    <row r="20" spans="1:26" ht="15.75" customHeight="1">
      <c r="A20" s="646"/>
      <c r="B20" s="660">
        <v>2011</v>
      </c>
      <c r="C20" s="660">
        <v>15934926</v>
      </c>
      <c r="D20" s="646"/>
      <c r="E20" s="646"/>
      <c r="F20" s="646"/>
      <c r="G20" s="646"/>
      <c r="H20" s="646"/>
      <c r="I20" s="646"/>
      <c r="J20" s="646"/>
      <c r="K20" s="646"/>
      <c r="L20" s="646"/>
      <c r="M20" s="646"/>
      <c r="N20" s="646"/>
      <c r="O20" s="646"/>
      <c r="P20" s="646"/>
      <c r="Q20" s="646"/>
      <c r="R20" s="646"/>
      <c r="S20" s="646"/>
      <c r="T20" s="646"/>
      <c r="U20" s="646"/>
      <c r="V20" s="646"/>
      <c r="W20" s="646"/>
      <c r="X20" s="646"/>
      <c r="Y20" s="646"/>
      <c r="Z20" s="646"/>
    </row>
    <row r="21" spans="1:26" ht="15.75" customHeight="1">
      <c r="A21" s="646"/>
      <c r="B21" s="660">
        <v>2012</v>
      </c>
      <c r="C21" s="660">
        <v>16849000</v>
      </c>
      <c r="D21" s="646"/>
      <c r="E21" s="646"/>
      <c r="F21" s="646"/>
      <c r="G21" s="646"/>
      <c r="H21" s="646"/>
      <c r="I21" s="646"/>
      <c r="J21" s="646"/>
      <c r="K21" s="646"/>
      <c r="L21" s="646"/>
      <c r="M21" s="646"/>
      <c r="N21" s="646"/>
      <c r="O21" s="646"/>
      <c r="P21" s="646"/>
      <c r="Q21" s="646"/>
      <c r="R21" s="646"/>
      <c r="S21" s="646"/>
      <c r="T21" s="646"/>
      <c r="U21" s="646"/>
      <c r="V21" s="646"/>
      <c r="W21" s="646"/>
      <c r="X21" s="646"/>
      <c r="Y21" s="646"/>
      <c r="Z21" s="646"/>
    </row>
    <row r="22" spans="1:26" ht="15.75" customHeight="1">
      <c r="A22" s="646"/>
      <c r="B22" s="660">
        <v>2013</v>
      </c>
      <c r="C22" s="660">
        <v>17774000</v>
      </c>
      <c r="D22" s="646"/>
      <c r="E22" s="646"/>
      <c r="F22" s="646"/>
      <c r="G22" s="646"/>
      <c r="H22" s="646"/>
      <c r="I22" s="646"/>
      <c r="J22" s="646"/>
      <c r="K22" s="646"/>
      <c r="L22" s="646"/>
      <c r="M22" s="646"/>
      <c r="N22" s="646"/>
      <c r="O22" s="646"/>
      <c r="P22" s="646"/>
      <c r="Q22" s="646"/>
      <c r="R22" s="646"/>
      <c r="S22" s="646"/>
      <c r="T22" s="646"/>
      <c r="U22" s="646"/>
      <c r="V22" s="646"/>
      <c r="W22" s="646"/>
      <c r="X22" s="646"/>
      <c r="Y22" s="646"/>
      <c r="Z22" s="646"/>
    </row>
    <row r="23" spans="1:26" ht="15.75" customHeight="1">
      <c r="A23" s="646"/>
      <c r="B23" s="660">
        <v>2014</v>
      </c>
      <c r="C23" s="660">
        <v>18709000</v>
      </c>
      <c r="D23" s="646"/>
      <c r="E23" s="646"/>
      <c r="F23" s="646"/>
      <c r="G23" s="646"/>
      <c r="H23" s="646"/>
      <c r="I23" s="646"/>
      <c r="J23" s="646"/>
      <c r="K23" s="646"/>
      <c r="L23" s="646"/>
      <c r="M23" s="646"/>
      <c r="N23" s="646"/>
      <c r="O23" s="646"/>
      <c r="P23" s="646"/>
      <c r="Q23" s="646"/>
      <c r="R23" s="646"/>
      <c r="S23" s="646"/>
      <c r="T23" s="646"/>
      <c r="U23" s="646"/>
      <c r="V23" s="646"/>
      <c r="W23" s="646"/>
      <c r="X23" s="646"/>
      <c r="Y23" s="646"/>
      <c r="Z23" s="646"/>
    </row>
    <row r="24" spans="1:26" ht="15.75" customHeight="1">
      <c r="A24" s="646"/>
      <c r="B24" s="660">
        <v>2015</v>
      </c>
      <c r="C24" s="660">
        <v>19653000</v>
      </c>
      <c r="D24" s="646"/>
      <c r="E24" s="646"/>
      <c r="F24" s="646"/>
      <c r="G24" s="646"/>
      <c r="H24" s="646"/>
      <c r="I24" s="646"/>
      <c r="J24" s="646"/>
      <c r="K24" s="646"/>
      <c r="L24" s="646"/>
      <c r="M24" s="646"/>
      <c r="N24" s="646"/>
      <c r="O24" s="646"/>
      <c r="P24" s="646"/>
      <c r="Q24" s="646"/>
      <c r="R24" s="646"/>
      <c r="S24" s="646"/>
      <c r="T24" s="646"/>
      <c r="U24" s="646"/>
      <c r="V24" s="646"/>
      <c r="W24" s="646"/>
      <c r="X24" s="646"/>
      <c r="Y24" s="646"/>
      <c r="Z24" s="646"/>
    </row>
    <row r="25" spans="1:26" ht="15.75" customHeight="1">
      <c r="A25" s="646"/>
      <c r="B25" s="660">
        <v>2016</v>
      </c>
      <c r="C25" s="660">
        <v>20602000</v>
      </c>
      <c r="D25" s="646"/>
      <c r="E25" s="646"/>
      <c r="F25" s="646"/>
      <c r="G25" s="646"/>
      <c r="H25" s="646"/>
      <c r="I25" s="646"/>
      <c r="J25" s="646"/>
      <c r="K25" s="646"/>
      <c r="L25" s="646"/>
      <c r="M25" s="646"/>
      <c r="N25" s="646"/>
      <c r="O25" s="646"/>
      <c r="P25" s="646"/>
      <c r="Q25" s="646"/>
      <c r="R25" s="646"/>
      <c r="S25" s="646"/>
      <c r="T25" s="646"/>
      <c r="U25" s="646"/>
      <c r="V25" s="646"/>
      <c r="W25" s="646"/>
      <c r="X25" s="646"/>
      <c r="Y25" s="646"/>
      <c r="Z25" s="646"/>
    </row>
    <row r="26" spans="1:26" ht="15.75" customHeight="1">
      <c r="A26" s="646"/>
      <c r="B26" s="660">
        <v>2017</v>
      </c>
      <c r="C26" s="660">
        <v>21524000</v>
      </c>
      <c r="D26" s="646"/>
      <c r="E26" s="646"/>
      <c r="F26" s="646"/>
      <c r="G26" s="646"/>
      <c r="H26" s="646"/>
      <c r="I26" s="646"/>
      <c r="J26" s="646"/>
      <c r="K26" s="646"/>
      <c r="L26" s="646"/>
      <c r="M26" s="646"/>
      <c r="N26" s="646"/>
      <c r="O26" s="646"/>
      <c r="P26" s="646"/>
      <c r="Q26" s="646"/>
      <c r="R26" s="646"/>
      <c r="S26" s="646"/>
      <c r="T26" s="646"/>
      <c r="U26" s="646"/>
      <c r="V26" s="646"/>
      <c r="W26" s="646"/>
      <c r="X26" s="646"/>
      <c r="Y26" s="646"/>
      <c r="Z26" s="646"/>
    </row>
    <row r="27" spans="1:26" ht="15.75" customHeight="1">
      <c r="A27" s="646"/>
      <c r="B27" s="660">
        <v>2018</v>
      </c>
      <c r="C27" s="660">
        <v>22447000</v>
      </c>
      <c r="D27" s="646"/>
      <c r="E27" s="646"/>
      <c r="F27" s="646"/>
      <c r="G27" s="646"/>
      <c r="H27" s="646"/>
      <c r="I27" s="646"/>
      <c r="J27" s="646"/>
      <c r="K27" s="646"/>
      <c r="L27" s="646"/>
      <c r="M27" s="646"/>
      <c r="N27" s="646"/>
      <c r="O27" s="646"/>
      <c r="P27" s="646"/>
      <c r="Q27" s="646"/>
      <c r="R27" s="646"/>
      <c r="S27" s="646"/>
      <c r="T27" s="646"/>
      <c r="U27" s="646"/>
      <c r="V27" s="646"/>
      <c r="W27" s="646"/>
      <c r="X27" s="646"/>
      <c r="Y27" s="646"/>
      <c r="Z27" s="646"/>
    </row>
    <row r="28" spans="1:26" ht="15.75" customHeight="1">
      <c r="A28" s="646"/>
      <c r="B28" s="660">
        <v>2019</v>
      </c>
      <c r="C28" s="660">
        <v>23369000</v>
      </c>
      <c r="D28" s="646"/>
      <c r="E28" s="646"/>
      <c r="F28" s="646"/>
      <c r="G28" s="646"/>
      <c r="H28" s="646"/>
      <c r="I28" s="646"/>
      <c r="J28" s="646"/>
      <c r="K28" s="646"/>
      <c r="L28" s="646"/>
      <c r="M28" s="646"/>
      <c r="N28" s="646"/>
      <c r="O28" s="646"/>
      <c r="P28" s="646"/>
      <c r="Q28" s="646"/>
      <c r="R28" s="646"/>
      <c r="S28" s="646"/>
      <c r="T28" s="646"/>
      <c r="U28" s="646"/>
      <c r="V28" s="646"/>
      <c r="W28" s="646"/>
      <c r="X28" s="646"/>
      <c r="Y28" s="646"/>
      <c r="Z28" s="646"/>
    </row>
    <row r="29" spans="1:26" ht="15.75" customHeight="1">
      <c r="A29" s="646"/>
      <c r="B29" s="660">
        <v>2020</v>
      </c>
      <c r="C29" s="660">
        <v>24287000</v>
      </c>
      <c r="D29" s="646"/>
      <c r="E29" s="646"/>
      <c r="F29" s="646"/>
      <c r="G29" s="646"/>
      <c r="H29" s="646"/>
      <c r="I29" s="646"/>
      <c r="J29" s="646"/>
      <c r="K29" s="646"/>
      <c r="L29" s="646"/>
      <c r="M29" s="646"/>
      <c r="N29" s="646"/>
      <c r="O29" s="646"/>
      <c r="P29" s="646"/>
      <c r="Q29" s="646"/>
      <c r="R29" s="646"/>
      <c r="S29" s="646"/>
      <c r="T29" s="646"/>
      <c r="U29" s="646"/>
      <c r="V29" s="646"/>
      <c r="W29" s="646"/>
      <c r="X29" s="646"/>
      <c r="Y29" s="646"/>
      <c r="Z29" s="646"/>
    </row>
    <row r="30" spans="1:26" ht="15.75" customHeight="1">
      <c r="A30" s="646"/>
      <c r="B30" s="660">
        <v>2021</v>
      </c>
      <c r="C30" s="660">
        <v>25200000</v>
      </c>
      <c r="D30" s="646"/>
      <c r="E30" s="646"/>
      <c r="F30" s="646"/>
      <c r="G30" s="646"/>
      <c r="H30" s="646"/>
      <c r="I30" s="646"/>
      <c r="J30" s="646"/>
      <c r="K30" s="646"/>
      <c r="L30" s="646"/>
      <c r="M30" s="646"/>
      <c r="N30" s="646"/>
      <c r="O30" s="646"/>
      <c r="P30" s="646"/>
      <c r="Q30" s="646"/>
      <c r="R30" s="646"/>
      <c r="S30" s="646"/>
      <c r="T30" s="646"/>
      <c r="U30" s="646"/>
      <c r="V30" s="646"/>
      <c r="W30" s="646"/>
      <c r="X30" s="646"/>
      <c r="Y30" s="646"/>
      <c r="Z30" s="646"/>
    </row>
    <row r="31" spans="1:26" ht="15.75" customHeight="1">
      <c r="A31" s="646"/>
      <c r="B31" s="660">
        <v>2022</v>
      </c>
      <c r="C31" s="660">
        <v>26079000</v>
      </c>
      <c r="D31" s="646"/>
      <c r="E31" s="646"/>
      <c r="F31" s="646"/>
      <c r="G31" s="646"/>
      <c r="H31" s="646"/>
      <c r="I31" s="646"/>
      <c r="J31" s="646"/>
      <c r="K31" s="646"/>
      <c r="L31" s="646"/>
      <c r="M31" s="646"/>
      <c r="N31" s="646"/>
      <c r="O31" s="646"/>
      <c r="P31" s="646"/>
      <c r="Q31" s="646"/>
      <c r="R31" s="646"/>
      <c r="S31" s="646"/>
      <c r="T31" s="646"/>
      <c r="U31" s="646"/>
      <c r="V31" s="646"/>
      <c r="W31" s="646"/>
      <c r="X31" s="646"/>
      <c r="Y31" s="646"/>
      <c r="Z31" s="646"/>
    </row>
    <row r="32" spans="1:26" ht="15.75" customHeight="1">
      <c r="A32" s="646"/>
      <c r="B32" s="661">
        <v>2023</v>
      </c>
      <c r="C32" s="661">
        <v>26947000</v>
      </c>
      <c r="I32" s="646"/>
      <c r="J32" s="646"/>
      <c r="K32" s="646"/>
      <c r="L32" s="646"/>
      <c r="M32" s="646"/>
      <c r="N32" s="646"/>
      <c r="O32" s="646"/>
      <c r="P32" s="646"/>
      <c r="Q32" s="646"/>
      <c r="R32" s="646"/>
      <c r="S32" s="646"/>
      <c r="T32" s="646"/>
      <c r="U32" s="646"/>
      <c r="V32" s="646"/>
      <c r="W32" s="646"/>
      <c r="X32" s="646"/>
      <c r="Y32" s="646"/>
      <c r="Z32" s="646"/>
    </row>
    <row r="33" spans="1:26" ht="15.75" customHeight="1">
      <c r="A33" s="646"/>
      <c r="B33" s="646"/>
      <c r="C33" s="646"/>
      <c r="D33" s="646"/>
      <c r="E33" s="646"/>
      <c r="F33" s="646"/>
      <c r="G33" s="646"/>
      <c r="H33" s="646"/>
      <c r="I33" s="646"/>
      <c r="J33" s="646"/>
      <c r="K33" s="646"/>
      <c r="L33" s="646"/>
      <c r="M33" s="646"/>
      <c r="N33" s="646"/>
      <c r="O33" s="646"/>
      <c r="P33" s="646"/>
      <c r="Q33" s="646"/>
      <c r="R33" s="646"/>
      <c r="S33" s="646"/>
      <c r="T33" s="646"/>
      <c r="U33" s="646"/>
      <c r="V33" s="646"/>
      <c r="W33" s="646"/>
      <c r="X33" s="646"/>
      <c r="Y33" s="646"/>
      <c r="Z33" s="646"/>
    </row>
    <row r="34" spans="1:26" ht="15.75" customHeight="1">
      <c r="A34" s="646"/>
      <c r="B34" s="646"/>
      <c r="C34" s="646"/>
      <c r="D34" s="646"/>
      <c r="E34" s="646"/>
      <c r="F34" s="646"/>
      <c r="G34" s="646"/>
      <c r="H34" s="646"/>
      <c r="I34" s="646"/>
      <c r="J34" s="646"/>
      <c r="K34" s="646"/>
      <c r="L34" s="646"/>
      <c r="M34" s="646"/>
      <c r="N34" s="646"/>
      <c r="O34" s="646"/>
      <c r="P34" s="646"/>
      <c r="Q34" s="646"/>
      <c r="R34" s="646"/>
      <c r="S34" s="646"/>
      <c r="T34" s="646"/>
      <c r="U34" s="646"/>
      <c r="V34" s="646"/>
      <c r="W34" s="646"/>
      <c r="X34" s="646"/>
      <c r="Y34" s="646"/>
      <c r="Z34" s="646"/>
    </row>
    <row r="35" spans="1:26" ht="15.75" customHeight="1">
      <c r="A35" s="646"/>
      <c r="B35" s="646"/>
      <c r="C35" s="646"/>
      <c r="D35" s="646"/>
      <c r="E35" s="646"/>
      <c r="F35" s="646"/>
      <c r="G35" s="646"/>
      <c r="H35" s="646"/>
      <c r="I35" s="646"/>
      <c r="J35" s="646"/>
      <c r="K35" s="646"/>
      <c r="L35" s="646"/>
      <c r="M35" s="646"/>
      <c r="N35" s="646"/>
      <c r="O35" s="646"/>
      <c r="P35" s="646"/>
      <c r="Q35" s="646"/>
      <c r="R35" s="646"/>
      <c r="S35" s="646"/>
      <c r="T35" s="646"/>
      <c r="U35" s="646"/>
      <c r="V35" s="646"/>
      <c r="W35" s="646"/>
      <c r="X35" s="646"/>
      <c r="Y35" s="646"/>
      <c r="Z35" s="646"/>
    </row>
    <row r="36" spans="1:26" ht="15.75" customHeight="1">
      <c r="A36" s="646"/>
      <c r="B36" s="646"/>
      <c r="C36" s="646"/>
      <c r="D36" s="646"/>
      <c r="E36" s="646"/>
      <c r="F36" s="646"/>
      <c r="G36" s="646"/>
      <c r="H36" s="646"/>
      <c r="I36" s="646"/>
      <c r="J36" s="646"/>
      <c r="K36" s="646"/>
      <c r="L36" s="646"/>
      <c r="M36" s="646"/>
      <c r="N36" s="646"/>
      <c r="O36" s="646"/>
      <c r="P36" s="646"/>
      <c r="Q36" s="646"/>
      <c r="R36" s="646"/>
      <c r="S36" s="646"/>
      <c r="T36" s="646"/>
      <c r="U36" s="646"/>
      <c r="V36" s="646"/>
      <c r="W36" s="646"/>
      <c r="X36" s="646"/>
      <c r="Y36" s="646"/>
      <c r="Z36" s="646"/>
    </row>
    <row r="37" spans="1:26" ht="15.75" customHeight="1">
      <c r="A37" s="646"/>
      <c r="B37" s="646"/>
      <c r="C37" s="646"/>
      <c r="D37" s="646"/>
      <c r="E37" s="646"/>
      <c r="F37" s="646"/>
      <c r="G37" s="646"/>
      <c r="H37" s="646"/>
      <c r="I37" s="646"/>
      <c r="J37" s="646"/>
      <c r="K37" s="646"/>
      <c r="L37" s="646"/>
      <c r="M37" s="646"/>
      <c r="N37" s="646"/>
      <c r="O37" s="646"/>
      <c r="P37" s="646"/>
      <c r="Q37" s="646"/>
      <c r="R37" s="646"/>
      <c r="S37" s="646"/>
      <c r="T37" s="646"/>
      <c r="U37" s="646"/>
      <c r="V37" s="646"/>
      <c r="W37" s="646"/>
      <c r="X37" s="646"/>
      <c r="Y37" s="646"/>
      <c r="Z37" s="646"/>
    </row>
    <row r="38" spans="1:26" ht="15.75" customHeight="1">
      <c r="A38" s="646"/>
      <c r="B38" s="646"/>
      <c r="C38" s="646"/>
      <c r="D38" s="646"/>
      <c r="E38" s="646"/>
      <c r="F38" s="646"/>
      <c r="G38" s="646"/>
      <c r="H38" s="646"/>
      <c r="I38" s="646"/>
      <c r="J38" s="646"/>
      <c r="K38" s="646"/>
      <c r="L38" s="646"/>
      <c r="M38" s="646"/>
      <c r="N38" s="646"/>
      <c r="O38" s="646"/>
      <c r="P38" s="646"/>
      <c r="Q38" s="646"/>
      <c r="R38" s="646"/>
      <c r="S38" s="646"/>
      <c r="T38" s="646"/>
      <c r="U38" s="646"/>
      <c r="V38" s="646"/>
      <c r="W38" s="646"/>
      <c r="X38" s="646"/>
      <c r="Y38" s="646"/>
      <c r="Z38" s="646"/>
    </row>
    <row r="39" spans="1:26" ht="15.75" customHeight="1">
      <c r="A39" s="646"/>
      <c r="B39" s="646"/>
      <c r="C39" s="646"/>
      <c r="D39" s="646"/>
      <c r="E39" s="646"/>
      <c r="F39" s="646"/>
      <c r="G39" s="646"/>
      <c r="H39" s="646"/>
      <c r="I39" s="646"/>
      <c r="J39" s="646"/>
      <c r="K39" s="646"/>
      <c r="L39" s="646"/>
      <c r="M39" s="646"/>
      <c r="N39" s="646"/>
      <c r="O39" s="646"/>
      <c r="P39" s="646"/>
      <c r="Q39" s="646"/>
      <c r="R39" s="646"/>
      <c r="S39" s="646"/>
      <c r="T39" s="646"/>
      <c r="U39" s="646"/>
      <c r="V39" s="646"/>
      <c r="W39" s="646"/>
      <c r="X39" s="646"/>
      <c r="Y39" s="646"/>
      <c r="Z39" s="646"/>
    </row>
    <row r="40" spans="1:26" ht="15.75" customHeight="1">
      <c r="A40" s="646"/>
      <c r="B40" s="646"/>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row>
    <row r="41" spans="1:26" ht="15.75" customHeight="1">
      <c r="A41" s="646"/>
      <c r="B41" s="646"/>
      <c r="C41" s="646"/>
      <c r="D41" s="646"/>
      <c r="E41" s="646"/>
      <c r="F41" s="646"/>
      <c r="G41" s="646"/>
      <c r="H41" s="646"/>
      <c r="I41" s="646"/>
      <c r="J41" s="646"/>
      <c r="K41" s="646"/>
      <c r="L41" s="646"/>
      <c r="M41" s="646"/>
      <c r="N41" s="646"/>
      <c r="O41" s="646"/>
      <c r="P41" s="646"/>
      <c r="Q41" s="646"/>
      <c r="R41" s="646"/>
      <c r="S41" s="646"/>
      <c r="T41" s="646"/>
      <c r="U41" s="646"/>
      <c r="V41" s="646"/>
      <c r="W41" s="646"/>
      <c r="X41" s="646"/>
      <c r="Y41" s="646"/>
      <c r="Z41" s="646"/>
    </row>
    <row r="42" spans="1:26" ht="15.75" customHeight="1">
      <c r="A42" s="646"/>
      <c r="B42" s="646"/>
      <c r="C42" s="646"/>
      <c r="D42" s="646"/>
      <c r="E42" s="646"/>
      <c r="F42" s="646"/>
      <c r="G42" s="646"/>
      <c r="H42" s="646"/>
      <c r="I42" s="646"/>
      <c r="J42" s="646"/>
      <c r="K42" s="646"/>
      <c r="L42" s="646"/>
      <c r="M42" s="646"/>
      <c r="N42" s="646"/>
      <c r="O42" s="646"/>
      <c r="P42" s="646"/>
      <c r="Q42" s="646"/>
      <c r="R42" s="646"/>
      <c r="S42" s="646"/>
      <c r="T42" s="646"/>
      <c r="U42" s="646"/>
      <c r="V42" s="646"/>
      <c r="W42" s="646"/>
      <c r="X42" s="646"/>
      <c r="Y42" s="646"/>
      <c r="Z42" s="646"/>
    </row>
    <row r="43" spans="1:26" ht="15.75" customHeight="1">
      <c r="A43" s="646"/>
      <c r="B43" s="646"/>
      <c r="C43" s="646"/>
      <c r="D43" s="646"/>
      <c r="E43" s="646"/>
      <c r="F43" s="646"/>
      <c r="G43" s="646"/>
      <c r="H43" s="646"/>
      <c r="I43" s="646"/>
      <c r="J43" s="646"/>
      <c r="K43" s="646"/>
      <c r="L43" s="646"/>
      <c r="M43" s="646"/>
      <c r="N43" s="646"/>
      <c r="O43" s="646"/>
      <c r="P43" s="646"/>
      <c r="Q43" s="646"/>
      <c r="R43" s="646"/>
      <c r="S43" s="646"/>
      <c r="T43" s="646"/>
      <c r="U43" s="646"/>
      <c r="V43" s="646"/>
      <c r="W43" s="646"/>
      <c r="X43" s="646"/>
      <c r="Y43" s="646"/>
      <c r="Z43" s="646"/>
    </row>
    <row r="44" spans="1:26" ht="15.75" customHeight="1">
      <c r="A44" s="646"/>
      <c r="B44" s="646"/>
      <c r="C44" s="646"/>
      <c r="D44" s="646"/>
      <c r="E44" s="646"/>
      <c r="F44" s="646"/>
      <c r="G44" s="646"/>
      <c r="H44" s="646"/>
      <c r="I44" s="646"/>
      <c r="J44" s="646"/>
      <c r="K44" s="646"/>
      <c r="L44" s="646"/>
      <c r="M44" s="646"/>
      <c r="N44" s="646"/>
      <c r="O44" s="646"/>
      <c r="P44" s="646"/>
      <c r="Q44" s="646"/>
      <c r="R44" s="646"/>
      <c r="S44" s="646"/>
      <c r="T44" s="646"/>
      <c r="U44" s="646"/>
      <c r="V44" s="646"/>
      <c r="W44" s="646"/>
      <c r="X44" s="646"/>
      <c r="Y44" s="646"/>
      <c r="Z44" s="646"/>
    </row>
    <row r="45" spans="1:26" ht="15.75" customHeight="1">
      <c r="A45" s="646"/>
      <c r="B45" s="646"/>
      <c r="C45" s="646"/>
      <c r="D45" s="646"/>
      <c r="E45" s="646"/>
      <c r="F45" s="646"/>
      <c r="G45" s="646"/>
      <c r="H45" s="646"/>
      <c r="I45" s="646"/>
      <c r="J45" s="646"/>
      <c r="K45" s="646"/>
      <c r="L45" s="646"/>
      <c r="M45" s="646"/>
      <c r="N45" s="646"/>
      <c r="O45" s="646"/>
      <c r="P45" s="646"/>
      <c r="Q45" s="646"/>
      <c r="R45" s="646"/>
      <c r="S45" s="646"/>
      <c r="T45" s="646"/>
      <c r="U45" s="646"/>
      <c r="V45" s="646"/>
      <c r="W45" s="646"/>
      <c r="X45" s="646"/>
      <c r="Y45" s="646"/>
      <c r="Z45" s="646"/>
    </row>
    <row r="46" spans="1:26" ht="15.75" customHeight="1">
      <c r="A46" s="646"/>
      <c r="B46" s="646"/>
      <c r="C46" s="646"/>
      <c r="D46" s="646"/>
      <c r="E46" s="646"/>
      <c r="F46" s="646"/>
      <c r="G46" s="646"/>
      <c r="H46" s="646"/>
      <c r="I46" s="646"/>
      <c r="J46" s="646"/>
      <c r="K46" s="646"/>
      <c r="L46" s="646"/>
      <c r="M46" s="646"/>
      <c r="N46" s="646"/>
      <c r="O46" s="646"/>
      <c r="P46" s="646"/>
      <c r="Q46" s="646"/>
      <c r="R46" s="646"/>
      <c r="S46" s="646"/>
      <c r="T46" s="646"/>
      <c r="U46" s="646"/>
      <c r="V46" s="646"/>
      <c r="W46" s="646"/>
      <c r="X46" s="646"/>
      <c r="Y46" s="646"/>
      <c r="Z46" s="646"/>
    </row>
    <row r="47" spans="1:26" ht="15.75" customHeight="1">
      <c r="A47" s="646"/>
      <c r="B47" s="646"/>
      <c r="C47" s="646"/>
      <c r="D47" s="646"/>
      <c r="E47" s="646"/>
      <c r="F47" s="646"/>
      <c r="G47" s="646"/>
      <c r="H47" s="646"/>
      <c r="I47" s="646"/>
      <c r="J47" s="646"/>
      <c r="K47" s="646"/>
      <c r="L47" s="646"/>
      <c r="M47" s="646"/>
      <c r="N47" s="646"/>
      <c r="O47" s="646"/>
      <c r="P47" s="646"/>
      <c r="Q47" s="646"/>
      <c r="R47" s="646"/>
      <c r="S47" s="646"/>
      <c r="T47" s="646"/>
      <c r="U47" s="646"/>
      <c r="V47" s="646"/>
      <c r="W47" s="646"/>
      <c r="X47" s="646"/>
      <c r="Y47" s="646"/>
      <c r="Z47" s="646"/>
    </row>
    <row r="48" spans="1:26" ht="15.75" customHeight="1">
      <c r="A48" s="646"/>
      <c r="B48" s="646"/>
      <c r="C48" s="646"/>
      <c r="D48" s="646"/>
      <c r="E48" s="646"/>
      <c r="F48" s="646"/>
      <c r="G48" s="646"/>
      <c r="H48" s="646"/>
      <c r="I48" s="646"/>
      <c r="J48" s="646"/>
      <c r="K48" s="646"/>
      <c r="L48" s="646"/>
      <c r="M48" s="646"/>
      <c r="N48" s="646"/>
      <c r="O48" s="646"/>
      <c r="P48" s="646"/>
      <c r="Q48" s="646"/>
      <c r="R48" s="646"/>
      <c r="S48" s="646"/>
      <c r="T48" s="646"/>
      <c r="U48" s="646"/>
      <c r="V48" s="646"/>
      <c r="W48" s="646"/>
      <c r="X48" s="646"/>
      <c r="Y48" s="646"/>
      <c r="Z48" s="646"/>
    </row>
    <row r="49" spans="1:26" ht="15.75" customHeight="1">
      <c r="A49" s="646"/>
      <c r="B49" s="646"/>
      <c r="C49" s="646"/>
      <c r="D49" s="646"/>
      <c r="E49" s="646"/>
      <c r="F49" s="646"/>
      <c r="G49" s="646"/>
      <c r="H49" s="646"/>
      <c r="I49" s="646"/>
      <c r="J49" s="646"/>
      <c r="K49" s="646"/>
      <c r="L49" s="646"/>
      <c r="M49" s="646"/>
      <c r="N49" s="646"/>
      <c r="O49" s="646"/>
      <c r="P49" s="646"/>
      <c r="Q49" s="646"/>
      <c r="R49" s="646"/>
      <c r="S49" s="646"/>
      <c r="T49" s="646"/>
      <c r="U49" s="646"/>
      <c r="V49" s="646"/>
      <c r="W49" s="646"/>
      <c r="X49" s="646"/>
      <c r="Y49" s="646"/>
      <c r="Z49" s="646"/>
    </row>
    <row r="50" spans="1:26" ht="15.75" customHeight="1">
      <c r="A50" s="646"/>
      <c r="B50" s="646"/>
      <c r="C50" s="646"/>
      <c r="D50" s="646"/>
      <c r="E50" s="646"/>
      <c r="F50" s="646"/>
      <c r="G50" s="646"/>
      <c r="H50" s="646"/>
      <c r="I50" s="646"/>
      <c r="J50" s="646"/>
      <c r="K50" s="646"/>
      <c r="L50" s="646"/>
      <c r="M50" s="646"/>
      <c r="N50" s="646"/>
      <c r="O50" s="646"/>
      <c r="P50" s="646"/>
      <c r="Q50" s="646"/>
      <c r="R50" s="646"/>
      <c r="S50" s="646"/>
      <c r="T50" s="646"/>
      <c r="U50" s="646"/>
      <c r="V50" s="646"/>
      <c r="W50" s="646"/>
      <c r="X50" s="646"/>
      <c r="Y50" s="646"/>
      <c r="Z50" s="646"/>
    </row>
    <row r="51" spans="1:26" ht="15.75" customHeight="1">
      <c r="A51" s="646"/>
      <c r="B51" s="646"/>
      <c r="C51" s="646"/>
      <c r="D51" s="646"/>
      <c r="E51" s="646"/>
      <c r="F51" s="646"/>
      <c r="G51" s="646"/>
      <c r="H51" s="646"/>
      <c r="I51" s="646"/>
      <c r="J51" s="646"/>
      <c r="K51" s="646"/>
      <c r="L51" s="646"/>
      <c r="M51" s="646"/>
      <c r="N51" s="646"/>
      <c r="O51" s="646"/>
      <c r="P51" s="646"/>
      <c r="Q51" s="646"/>
      <c r="R51" s="646"/>
      <c r="S51" s="646"/>
      <c r="T51" s="646"/>
      <c r="U51" s="646"/>
      <c r="V51" s="646"/>
      <c r="W51" s="646"/>
      <c r="X51" s="646"/>
      <c r="Y51" s="646"/>
      <c r="Z51" s="646"/>
    </row>
    <row r="52" spans="1:26" ht="15.75" customHeight="1">
      <c r="A52" s="646"/>
      <c r="B52" s="646"/>
      <c r="C52" s="646"/>
      <c r="D52" s="646"/>
      <c r="E52" s="646"/>
      <c r="F52" s="646"/>
      <c r="G52" s="646"/>
      <c r="H52" s="646"/>
      <c r="I52" s="646"/>
      <c r="J52" s="646"/>
      <c r="K52" s="646"/>
      <c r="L52" s="646"/>
      <c r="M52" s="646"/>
      <c r="N52" s="646"/>
      <c r="O52" s="646"/>
      <c r="P52" s="646"/>
      <c r="Q52" s="646"/>
      <c r="R52" s="646"/>
      <c r="S52" s="646"/>
      <c r="T52" s="646"/>
      <c r="U52" s="646"/>
      <c r="V52" s="646"/>
      <c r="W52" s="646"/>
      <c r="X52" s="646"/>
      <c r="Y52" s="646"/>
      <c r="Z52" s="646"/>
    </row>
    <row r="53" spans="1:26" ht="15.75" customHeight="1">
      <c r="A53" s="646"/>
      <c r="B53" s="646"/>
      <c r="C53" s="646"/>
      <c r="D53" s="646"/>
      <c r="E53" s="646"/>
      <c r="F53" s="646"/>
      <c r="G53" s="646"/>
      <c r="H53" s="646"/>
      <c r="I53" s="646"/>
      <c r="J53" s="646"/>
      <c r="K53" s="646"/>
      <c r="L53" s="646"/>
      <c r="M53" s="646"/>
      <c r="N53" s="646"/>
      <c r="O53" s="646"/>
      <c r="P53" s="646"/>
      <c r="Q53" s="646"/>
      <c r="R53" s="646"/>
      <c r="S53" s="646"/>
      <c r="T53" s="646"/>
      <c r="U53" s="646"/>
      <c r="V53" s="646"/>
      <c r="W53" s="646"/>
      <c r="X53" s="646"/>
      <c r="Y53" s="646"/>
      <c r="Z53" s="646"/>
    </row>
    <row r="54" spans="1:26" ht="15.75" customHeight="1">
      <c r="A54" s="646"/>
      <c r="B54" s="646"/>
      <c r="C54" s="646"/>
      <c r="D54" s="646"/>
      <c r="E54" s="646"/>
      <c r="F54" s="646"/>
      <c r="G54" s="646"/>
      <c r="H54" s="646"/>
      <c r="I54" s="646"/>
      <c r="J54" s="646"/>
      <c r="K54" s="646"/>
      <c r="L54" s="646"/>
      <c r="M54" s="646"/>
      <c r="N54" s="646"/>
      <c r="O54" s="646"/>
      <c r="P54" s="646"/>
      <c r="Q54" s="646"/>
      <c r="R54" s="646"/>
      <c r="S54" s="646"/>
      <c r="T54" s="646"/>
      <c r="U54" s="646"/>
      <c r="V54" s="646"/>
      <c r="W54" s="646"/>
      <c r="X54" s="646"/>
      <c r="Y54" s="646"/>
      <c r="Z54" s="646"/>
    </row>
    <row r="55" spans="1:26" ht="15.75" customHeight="1">
      <c r="A55" s="646"/>
      <c r="B55" s="646"/>
      <c r="C55" s="646"/>
      <c r="D55" s="646"/>
      <c r="E55" s="646"/>
      <c r="F55" s="646"/>
      <c r="G55" s="646"/>
      <c r="H55" s="646"/>
      <c r="I55" s="646"/>
      <c r="J55" s="646"/>
      <c r="K55" s="646"/>
      <c r="L55" s="646"/>
      <c r="M55" s="646"/>
      <c r="N55" s="646"/>
      <c r="O55" s="646"/>
      <c r="P55" s="646"/>
      <c r="Q55" s="646"/>
      <c r="R55" s="646"/>
      <c r="S55" s="646"/>
      <c r="T55" s="646"/>
      <c r="U55" s="646"/>
      <c r="V55" s="646"/>
      <c r="W55" s="646"/>
      <c r="X55" s="646"/>
      <c r="Y55" s="646"/>
      <c r="Z55" s="646"/>
    </row>
    <row r="56" spans="1:26" ht="15.75" customHeight="1">
      <c r="A56" s="646"/>
      <c r="B56" s="646"/>
      <c r="C56" s="646"/>
      <c r="D56" s="646"/>
      <c r="E56" s="646"/>
      <c r="F56" s="646"/>
      <c r="G56" s="646"/>
      <c r="H56" s="646"/>
      <c r="I56" s="646"/>
      <c r="J56" s="646"/>
      <c r="K56" s="646"/>
      <c r="L56" s="646"/>
      <c r="M56" s="646"/>
      <c r="N56" s="646"/>
      <c r="O56" s="646"/>
      <c r="P56" s="646"/>
      <c r="Q56" s="646"/>
      <c r="R56" s="646"/>
      <c r="S56" s="646"/>
      <c r="T56" s="646"/>
      <c r="U56" s="646"/>
      <c r="V56" s="646"/>
      <c r="W56" s="646"/>
      <c r="X56" s="646"/>
      <c r="Y56" s="646"/>
      <c r="Z56" s="646"/>
    </row>
    <row r="57" spans="1:26" ht="15.75" customHeight="1">
      <c r="A57" s="646"/>
      <c r="B57" s="646"/>
      <c r="C57" s="646"/>
      <c r="D57" s="646"/>
      <c r="E57" s="646"/>
      <c r="F57" s="646"/>
      <c r="G57" s="646"/>
      <c r="H57" s="646"/>
      <c r="I57" s="646"/>
      <c r="J57" s="646"/>
      <c r="K57" s="646"/>
      <c r="L57" s="646"/>
      <c r="M57" s="646"/>
      <c r="N57" s="646"/>
      <c r="O57" s="646"/>
      <c r="P57" s="646"/>
      <c r="Q57" s="646"/>
      <c r="R57" s="646"/>
      <c r="S57" s="646"/>
      <c r="T57" s="646"/>
      <c r="U57" s="646"/>
      <c r="V57" s="646"/>
      <c r="W57" s="646"/>
      <c r="X57" s="646"/>
      <c r="Y57" s="646"/>
      <c r="Z57" s="646"/>
    </row>
    <row r="58" spans="1:26" ht="15.75" customHeight="1">
      <c r="A58" s="646"/>
      <c r="B58" s="646"/>
      <c r="C58" s="646"/>
      <c r="D58" s="646"/>
      <c r="E58" s="646"/>
      <c r="F58" s="646"/>
      <c r="G58" s="646"/>
      <c r="H58" s="646"/>
      <c r="I58" s="646"/>
      <c r="J58" s="646"/>
      <c r="K58" s="646"/>
      <c r="L58" s="646"/>
      <c r="M58" s="646"/>
      <c r="N58" s="646"/>
      <c r="O58" s="646"/>
      <c r="P58" s="646"/>
      <c r="Q58" s="646"/>
      <c r="R58" s="646"/>
      <c r="S58" s="646"/>
      <c r="T58" s="646"/>
      <c r="U58" s="646"/>
      <c r="V58" s="646"/>
      <c r="W58" s="646"/>
      <c r="X58" s="646"/>
      <c r="Y58" s="646"/>
      <c r="Z58" s="646"/>
    </row>
    <row r="59" spans="1:26" ht="15.75" customHeight="1">
      <c r="A59" s="646"/>
      <c r="B59" s="646"/>
      <c r="C59" s="646"/>
      <c r="D59" s="646"/>
      <c r="E59" s="646"/>
      <c r="F59" s="646"/>
      <c r="G59" s="646"/>
      <c r="H59" s="646"/>
      <c r="I59" s="646"/>
      <c r="J59" s="646"/>
      <c r="K59" s="646"/>
      <c r="L59" s="646"/>
      <c r="M59" s="646"/>
      <c r="N59" s="646"/>
      <c r="O59" s="646"/>
      <c r="P59" s="646"/>
      <c r="Q59" s="646"/>
      <c r="R59" s="646"/>
      <c r="S59" s="646"/>
      <c r="T59" s="646"/>
      <c r="U59" s="646"/>
      <c r="V59" s="646"/>
      <c r="W59" s="646"/>
      <c r="X59" s="646"/>
      <c r="Y59" s="646"/>
      <c r="Z59" s="646"/>
    </row>
    <row r="60" spans="1:26" ht="15.75" customHeight="1">
      <c r="A60" s="646"/>
      <c r="B60" s="646"/>
      <c r="C60" s="646"/>
      <c r="D60" s="646"/>
      <c r="E60" s="646"/>
      <c r="F60" s="646"/>
      <c r="G60" s="646"/>
      <c r="H60" s="646"/>
      <c r="I60" s="646"/>
      <c r="J60" s="646"/>
      <c r="K60" s="646"/>
      <c r="L60" s="646"/>
      <c r="M60" s="646"/>
      <c r="N60" s="646"/>
      <c r="O60" s="646"/>
      <c r="P60" s="646"/>
      <c r="Q60" s="646"/>
      <c r="R60" s="646"/>
      <c r="S60" s="646"/>
      <c r="T60" s="646"/>
      <c r="U60" s="646"/>
      <c r="V60" s="646"/>
      <c r="W60" s="646"/>
      <c r="X60" s="646"/>
      <c r="Y60" s="646"/>
      <c r="Z60" s="646"/>
    </row>
    <row r="61" spans="1:26" ht="15.75" customHeight="1">
      <c r="A61" s="646"/>
      <c r="B61" s="646"/>
      <c r="C61" s="646"/>
      <c r="D61" s="646"/>
      <c r="E61" s="646"/>
      <c r="F61" s="646"/>
      <c r="G61" s="646"/>
      <c r="H61" s="646"/>
      <c r="I61" s="646"/>
      <c r="J61" s="646"/>
      <c r="K61" s="646"/>
      <c r="L61" s="646"/>
      <c r="M61" s="646"/>
      <c r="N61" s="646"/>
      <c r="O61" s="646"/>
      <c r="P61" s="646"/>
      <c r="Q61" s="646"/>
      <c r="R61" s="646"/>
      <c r="S61" s="646"/>
      <c r="T61" s="646"/>
      <c r="U61" s="646"/>
      <c r="V61" s="646"/>
      <c r="W61" s="646"/>
      <c r="X61" s="646"/>
      <c r="Y61" s="646"/>
      <c r="Z61" s="646"/>
    </row>
    <row r="62" spans="1:26" ht="15.75" customHeight="1">
      <c r="A62" s="646"/>
      <c r="B62" s="646"/>
      <c r="C62" s="646"/>
      <c r="D62" s="646"/>
      <c r="E62" s="646"/>
      <c r="F62" s="646"/>
      <c r="G62" s="646"/>
      <c r="H62" s="646"/>
      <c r="I62" s="646"/>
      <c r="J62" s="646"/>
      <c r="K62" s="646"/>
      <c r="L62" s="646"/>
      <c r="M62" s="646"/>
      <c r="N62" s="646"/>
      <c r="O62" s="646"/>
      <c r="P62" s="646"/>
      <c r="Q62" s="646"/>
      <c r="R62" s="646"/>
      <c r="S62" s="646"/>
      <c r="T62" s="646"/>
      <c r="U62" s="646"/>
      <c r="V62" s="646"/>
      <c r="W62" s="646"/>
      <c r="X62" s="646"/>
      <c r="Y62" s="646"/>
      <c r="Z62" s="646"/>
    </row>
    <row r="63" spans="1:26" ht="15.75" customHeight="1">
      <c r="A63" s="646"/>
      <c r="B63" s="646"/>
      <c r="C63" s="646"/>
      <c r="D63" s="646"/>
      <c r="E63" s="646"/>
      <c r="F63" s="646"/>
      <c r="G63" s="646"/>
      <c r="H63" s="646"/>
      <c r="I63" s="646"/>
      <c r="J63" s="646"/>
      <c r="K63" s="646"/>
      <c r="L63" s="646"/>
      <c r="M63" s="646"/>
      <c r="N63" s="646"/>
      <c r="O63" s="646"/>
      <c r="P63" s="646"/>
      <c r="Q63" s="646"/>
      <c r="R63" s="646"/>
      <c r="S63" s="646"/>
      <c r="T63" s="646"/>
      <c r="U63" s="646"/>
      <c r="V63" s="646"/>
      <c r="W63" s="646"/>
      <c r="X63" s="646"/>
      <c r="Y63" s="646"/>
      <c r="Z63" s="646"/>
    </row>
    <row r="64" spans="1:26" ht="15.75" customHeight="1">
      <c r="A64" s="646"/>
      <c r="B64" s="646"/>
      <c r="C64" s="646"/>
      <c r="D64" s="646"/>
      <c r="E64" s="646"/>
      <c r="F64" s="646"/>
      <c r="G64" s="646"/>
      <c r="H64" s="646"/>
      <c r="I64" s="646"/>
      <c r="J64" s="646"/>
      <c r="K64" s="646"/>
      <c r="L64" s="646"/>
      <c r="M64" s="646"/>
      <c r="N64" s="646"/>
      <c r="O64" s="646"/>
      <c r="P64" s="646"/>
      <c r="Q64" s="646"/>
      <c r="R64" s="646"/>
      <c r="S64" s="646"/>
      <c r="T64" s="646"/>
      <c r="U64" s="646"/>
      <c r="V64" s="646"/>
      <c r="W64" s="646"/>
      <c r="X64" s="646"/>
      <c r="Y64" s="646"/>
      <c r="Z64" s="646"/>
    </row>
    <row r="65" spans="1:26" ht="15.75" customHeight="1">
      <c r="A65" s="646"/>
      <c r="B65" s="646"/>
      <c r="C65" s="646"/>
      <c r="D65" s="646"/>
      <c r="E65" s="646"/>
      <c r="F65" s="646"/>
      <c r="G65" s="646"/>
      <c r="H65" s="646"/>
      <c r="I65" s="646"/>
      <c r="J65" s="646"/>
      <c r="K65" s="646"/>
      <c r="L65" s="646"/>
      <c r="M65" s="646"/>
      <c r="N65" s="646"/>
      <c r="O65" s="646"/>
      <c r="P65" s="646"/>
      <c r="Q65" s="646"/>
      <c r="R65" s="646"/>
      <c r="S65" s="646"/>
      <c r="T65" s="646"/>
      <c r="U65" s="646"/>
      <c r="V65" s="646"/>
      <c r="W65" s="646"/>
      <c r="X65" s="646"/>
      <c r="Y65" s="646"/>
      <c r="Z65" s="646"/>
    </row>
    <row r="66" spans="1:26" ht="15.75" customHeight="1">
      <c r="A66" s="646"/>
      <c r="B66" s="646"/>
      <c r="C66" s="646"/>
      <c r="D66" s="646"/>
      <c r="E66" s="646"/>
      <c r="F66" s="646"/>
      <c r="G66" s="646"/>
      <c r="H66" s="646"/>
      <c r="I66" s="646"/>
      <c r="J66" s="646"/>
      <c r="K66" s="646"/>
      <c r="L66" s="646"/>
      <c r="M66" s="646"/>
      <c r="N66" s="646"/>
      <c r="O66" s="646"/>
      <c r="P66" s="646"/>
      <c r="Q66" s="646"/>
      <c r="R66" s="646"/>
      <c r="S66" s="646"/>
      <c r="T66" s="646"/>
      <c r="U66" s="646"/>
      <c r="V66" s="646"/>
      <c r="W66" s="646"/>
      <c r="X66" s="646"/>
      <c r="Y66" s="646"/>
      <c r="Z66" s="646"/>
    </row>
    <row r="67" spans="1:26" ht="15.75" customHeight="1">
      <c r="A67" s="646"/>
      <c r="B67" s="646"/>
      <c r="C67" s="646"/>
      <c r="D67" s="646"/>
      <c r="E67" s="646"/>
      <c r="F67" s="646"/>
      <c r="G67" s="646"/>
      <c r="H67" s="646"/>
      <c r="I67" s="646"/>
      <c r="J67" s="646"/>
      <c r="K67" s="646"/>
      <c r="L67" s="646"/>
      <c r="M67" s="646"/>
      <c r="N67" s="646"/>
      <c r="O67" s="646"/>
      <c r="P67" s="646"/>
      <c r="Q67" s="646"/>
      <c r="R67" s="646"/>
      <c r="S67" s="646"/>
      <c r="T67" s="646"/>
      <c r="U67" s="646"/>
      <c r="V67" s="646"/>
      <c r="W67" s="646"/>
      <c r="X67" s="646"/>
      <c r="Y67" s="646"/>
      <c r="Z67" s="646"/>
    </row>
    <row r="68" spans="1:26" ht="15.75" customHeight="1">
      <c r="A68" s="646"/>
      <c r="B68" s="646"/>
      <c r="C68" s="646"/>
      <c r="D68" s="646"/>
      <c r="E68" s="646"/>
      <c r="F68" s="646"/>
      <c r="G68" s="646"/>
      <c r="H68" s="646"/>
      <c r="I68" s="646"/>
      <c r="J68" s="646"/>
      <c r="K68" s="646"/>
      <c r="L68" s="646"/>
      <c r="M68" s="646"/>
      <c r="N68" s="646"/>
      <c r="O68" s="646"/>
      <c r="P68" s="646"/>
      <c r="Q68" s="646"/>
      <c r="R68" s="646"/>
      <c r="S68" s="646"/>
      <c r="T68" s="646"/>
      <c r="U68" s="646"/>
      <c r="V68" s="646"/>
      <c r="W68" s="646"/>
      <c r="X68" s="646"/>
      <c r="Y68" s="646"/>
      <c r="Z68" s="646"/>
    </row>
    <row r="69" spans="1:26" ht="15.75" customHeight="1">
      <c r="A69" s="646"/>
      <c r="B69" s="646"/>
      <c r="C69" s="646"/>
      <c r="D69" s="646"/>
      <c r="E69" s="646"/>
      <c r="F69" s="646"/>
      <c r="G69" s="646"/>
      <c r="H69" s="646"/>
      <c r="I69" s="646"/>
      <c r="J69" s="646"/>
      <c r="K69" s="646"/>
      <c r="L69" s="646"/>
      <c r="M69" s="646"/>
      <c r="N69" s="646"/>
      <c r="O69" s="646"/>
      <c r="P69" s="646"/>
      <c r="Q69" s="646"/>
      <c r="R69" s="646"/>
      <c r="S69" s="646"/>
      <c r="T69" s="646"/>
      <c r="U69" s="646"/>
      <c r="V69" s="646"/>
      <c r="W69" s="646"/>
      <c r="X69" s="646"/>
      <c r="Y69" s="646"/>
      <c r="Z69" s="646"/>
    </row>
    <row r="70" spans="1:26" ht="15.75" customHeight="1">
      <c r="A70" s="646"/>
      <c r="B70" s="646"/>
      <c r="C70" s="646"/>
      <c r="D70" s="646"/>
      <c r="E70" s="646"/>
      <c r="F70" s="646"/>
      <c r="G70" s="646"/>
      <c r="H70" s="646"/>
      <c r="I70" s="646"/>
      <c r="J70" s="646"/>
      <c r="K70" s="646"/>
      <c r="L70" s="646"/>
      <c r="M70" s="646"/>
      <c r="N70" s="646"/>
      <c r="O70" s="646"/>
      <c r="P70" s="646"/>
      <c r="Q70" s="646"/>
      <c r="R70" s="646"/>
      <c r="S70" s="646"/>
      <c r="T70" s="646"/>
      <c r="U70" s="646"/>
      <c r="V70" s="646"/>
      <c r="W70" s="646"/>
      <c r="X70" s="646"/>
      <c r="Y70" s="646"/>
      <c r="Z70" s="646"/>
    </row>
    <row r="71" spans="1:26" ht="15.75" customHeight="1">
      <c r="A71" s="646"/>
      <c r="B71" s="646"/>
      <c r="C71" s="646"/>
      <c r="D71" s="646"/>
      <c r="E71" s="646"/>
      <c r="F71" s="646"/>
      <c r="G71" s="646"/>
      <c r="H71" s="646"/>
      <c r="I71" s="646"/>
      <c r="J71" s="646"/>
      <c r="K71" s="646"/>
      <c r="L71" s="646"/>
      <c r="M71" s="646"/>
      <c r="N71" s="646"/>
      <c r="O71" s="646"/>
      <c r="P71" s="646"/>
      <c r="Q71" s="646"/>
      <c r="R71" s="646"/>
      <c r="S71" s="646"/>
      <c r="T71" s="646"/>
      <c r="U71" s="646"/>
      <c r="V71" s="646"/>
      <c r="W71" s="646"/>
      <c r="X71" s="646"/>
      <c r="Y71" s="646"/>
      <c r="Z71" s="646"/>
    </row>
    <row r="72" spans="1:26" ht="15.75" customHeight="1">
      <c r="A72" s="646"/>
      <c r="B72" s="646"/>
      <c r="C72" s="646"/>
      <c r="D72" s="646"/>
      <c r="E72" s="646"/>
      <c r="F72" s="646"/>
      <c r="G72" s="646"/>
      <c r="H72" s="646"/>
      <c r="I72" s="646"/>
      <c r="J72" s="646"/>
      <c r="K72" s="646"/>
      <c r="L72" s="646"/>
      <c r="M72" s="646"/>
      <c r="N72" s="646"/>
      <c r="O72" s="646"/>
      <c r="P72" s="646"/>
      <c r="Q72" s="646"/>
      <c r="R72" s="646"/>
      <c r="S72" s="646"/>
      <c r="T72" s="646"/>
      <c r="U72" s="646"/>
      <c r="V72" s="646"/>
      <c r="W72" s="646"/>
      <c r="X72" s="646"/>
      <c r="Y72" s="646"/>
      <c r="Z72" s="646"/>
    </row>
    <row r="73" spans="1:26" ht="15.75" customHeight="1">
      <c r="A73" s="646"/>
      <c r="B73" s="646"/>
      <c r="C73" s="646"/>
      <c r="D73" s="646"/>
      <c r="E73" s="646"/>
      <c r="F73" s="646"/>
      <c r="G73" s="646"/>
      <c r="H73" s="646"/>
      <c r="I73" s="646"/>
      <c r="J73" s="646"/>
      <c r="K73" s="646"/>
      <c r="L73" s="646"/>
      <c r="M73" s="646"/>
      <c r="N73" s="646"/>
      <c r="O73" s="646"/>
      <c r="P73" s="646"/>
      <c r="Q73" s="646"/>
      <c r="R73" s="646"/>
      <c r="S73" s="646"/>
      <c r="T73" s="646"/>
      <c r="U73" s="646"/>
      <c r="V73" s="646"/>
      <c r="W73" s="646"/>
      <c r="X73" s="646"/>
      <c r="Y73" s="646"/>
      <c r="Z73" s="646"/>
    </row>
    <row r="74" spans="1:26" ht="15.75" customHeight="1">
      <c r="A74" s="646"/>
      <c r="B74" s="646"/>
      <c r="C74" s="646"/>
      <c r="D74" s="646"/>
      <c r="E74" s="646"/>
      <c r="F74" s="646"/>
      <c r="G74" s="646"/>
      <c r="H74" s="646"/>
      <c r="I74" s="646"/>
      <c r="J74" s="646"/>
      <c r="K74" s="646"/>
      <c r="L74" s="646"/>
      <c r="M74" s="646"/>
      <c r="N74" s="646"/>
      <c r="O74" s="646"/>
      <c r="P74" s="646"/>
      <c r="Q74" s="646"/>
      <c r="R74" s="646"/>
      <c r="S74" s="646"/>
      <c r="T74" s="646"/>
      <c r="U74" s="646"/>
      <c r="V74" s="646"/>
      <c r="W74" s="646"/>
      <c r="X74" s="646"/>
      <c r="Y74" s="646"/>
      <c r="Z74" s="646"/>
    </row>
    <row r="75" spans="1:26" ht="15.75" customHeight="1">
      <c r="A75" s="646"/>
      <c r="B75" s="646"/>
      <c r="C75" s="646"/>
      <c r="D75" s="646"/>
      <c r="E75" s="646"/>
      <c r="F75" s="646"/>
      <c r="G75" s="646"/>
      <c r="H75" s="646"/>
      <c r="I75" s="646"/>
      <c r="J75" s="646"/>
      <c r="K75" s="646"/>
      <c r="L75" s="646"/>
      <c r="M75" s="646"/>
      <c r="N75" s="646"/>
      <c r="O75" s="646"/>
      <c r="P75" s="646"/>
      <c r="Q75" s="646"/>
      <c r="R75" s="646"/>
      <c r="S75" s="646"/>
      <c r="T75" s="646"/>
      <c r="U75" s="646"/>
      <c r="V75" s="646"/>
      <c r="W75" s="646"/>
      <c r="X75" s="646"/>
      <c r="Y75" s="646"/>
      <c r="Z75" s="646"/>
    </row>
    <row r="76" spans="1:26" ht="15.75" customHeight="1">
      <c r="A76" s="646"/>
      <c r="B76" s="646"/>
      <c r="C76" s="646"/>
      <c r="D76" s="646"/>
      <c r="E76" s="646"/>
      <c r="F76" s="646"/>
      <c r="G76" s="646"/>
      <c r="H76" s="646"/>
      <c r="I76" s="646"/>
      <c r="J76" s="646"/>
      <c r="K76" s="646"/>
      <c r="L76" s="646"/>
      <c r="M76" s="646"/>
      <c r="N76" s="646"/>
      <c r="O76" s="646"/>
      <c r="P76" s="646"/>
      <c r="Q76" s="646"/>
      <c r="R76" s="646"/>
      <c r="S76" s="646"/>
      <c r="T76" s="646"/>
      <c r="U76" s="646"/>
      <c r="V76" s="646"/>
      <c r="W76" s="646"/>
      <c r="X76" s="646"/>
      <c r="Y76" s="646"/>
      <c r="Z76" s="646"/>
    </row>
    <row r="77" spans="1:26" ht="15.75" customHeight="1">
      <c r="A77" s="646"/>
      <c r="B77" s="646"/>
      <c r="C77" s="646"/>
      <c r="D77" s="646"/>
      <c r="E77" s="646"/>
      <c r="F77" s="646"/>
      <c r="G77" s="646"/>
      <c r="H77" s="646"/>
      <c r="I77" s="646"/>
      <c r="J77" s="646"/>
      <c r="K77" s="646"/>
      <c r="L77" s="646"/>
      <c r="M77" s="646"/>
      <c r="N77" s="646"/>
      <c r="O77" s="646"/>
      <c r="P77" s="646"/>
      <c r="Q77" s="646"/>
      <c r="R77" s="646"/>
      <c r="S77" s="646"/>
      <c r="T77" s="646"/>
      <c r="U77" s="646"/>
      <c r="V77" s="646"/>
      <c r="W77" s="646"/>
      <c r="X77" s="646"/>
      <c r="Y77" s="646"/>
      <c r="Z77" s="646"/>
    </row>
    <row r="78" spans="1:26" ht="15.75" customHeight="1">
      <c r="A78" s="646"/>
      <c r="B78" s="646"/>
      <c r="C78" s="646"/>
      <c r="D78" s="646"/>
      <c r="E78" s="646"/>
      <c r="F78" s="646"/>
      <c r="G78" s="646"/>
      <c r="H78" s="646"/>
      <c r="I78" s="646"/>
      <c r="J78" s="646"/>
      <c r="K78" s="646"/>
      <c r="L78" s="646"/>
      <c r="M78" s="646"/>
      <c r="N78" s="646"/>
      <c r="O78" s="646"/>
      <c r="P78" s="646"/>
      <c r="Q78" s="646"/>
      <c r="R78" s="646"/>
      <c r="S78" s="646"/>
      <c r="T78" s="646"/>
      <c r="U78" s="646"/>
      <c r="V78" s="646"/>
      <c r="W78" s="646"/>
      <c r="X78" s="646"/>
      <c r="Y78" s="646"/>
      <c r="Z78" s="646"/>
    </row>
    <row r="79" spans="1:26" ht="15.75" customHeight="1">
      <c r="A79" s="646"/>
      <c r="B79" s="646"/>
      <c r="C79" s="646"/>
      <c r="D79" s="646"/>
      <c r="E79" s="646"/>
      <c r="F79" s="646"/>
      <c r="G79" s="646"/>
      <c r="H79" s="646"/>
      <c r="I79" s="646"/>
      <c r="J79" s="646"/>
      <c r="K79" s="646"/>
      <c r="L79" s="646"/>
      <c r="M79" s="646"/>
      <c r="N79" s="646"/>
      <c r="O79" s="646"/>
      <c r="P79" s="646"/>
      <c r="Q79" s="646"/>
      <c r="R79" s="646"/>
      <c r="S79" s="646"/>
      <c r="T79" s="646"/>
      <c r="U79" s="646"/>
      <c r="V79" s="646"/>
      <c r="W79" s="646"/>
      <c r="X79" s="646"/>
      <c r="Y79" s="646"/>
      <c r="Z79" s="646"/>
    </row>
    <row r="80" spans="1:26" ht="15.75" customHeight="1">
      <c r="A80" s="646"/>
      <c r="B80" s="646"/>
      <c r="C80" s="646"/>
      <c r="D80" s="646"/>
      <c r="E80" s="646"/>
      <c r="F80" s="646"/>
      <c r="G80" s="646"/>
      <c r="H80" s="646"/>
      <c r="I80" s="646"/>
      <c r="J80" s="646"/>
      <c r="K80" s="646"/>
      <c r="L80" s="646"/>
      <c r="M80" s="646"/>
      <c r="N80" s="646"/>
      <c r="O80" s="646"/>
      <c r="P80" s="646"/>
      <c r="Q80" s="646"/>
      <c r="R80" s="646"/>
      <c r="S80" s="646"/>
      <c r="T80" s="646"/>
      <c r="U80" s="646"/>
      <c r="V80" s="646"/>
      <c r="W80" s="646"/>
      <c r="X80" s="646"/>
      <c r="Y80" s="646"/>
      <c r="Z80" s="646"/>
    </row>
    <row r="81" spans="1:26" ht="15.75" customHeight="1">
      <c r="A81" s="646"/>
      <c r="B81" s="646"/>
      <c r="C81" s="646"/>
      <c r="D81" s="646"/>
      <c r="E81" s="646"/>
      <c r="F81" s="646"/>
      <c r="G81" s="646"/>
      <c r="H81" s="646"/>
      <c r="I81" s="646"/>
      <c r="J81" s="646"/>
      <c r="K81" s="646"/>
      <c r="L81" s="646"/>
      <c r="M81" s="646"/>
      <c r="N81" s="646"/>
      <c r="O81" s="646"/>
      <c r="P81" s="646"/>
      <c r="Q81" s="646"/>
      <c r="R81" s="646"/>
      <c r="S81" s="646"/>
      <c r="T81" s="646"/>
      <c r="U81" s="646"/>
      <c r="V81" s="646"/>
      <c r="W81" s="646"/>
      <c r="X81" s="646"/>
      <c r="Y81" s="646"/>
      <c r="Z81" s="646"/>
    </row>
    <row r="82" spans="1:26" ht="15.75" customHeight="1">
      <c r="A82" s="646"/>
      <c r="B82" s="646"/>
      <c r="C82" s="646"/>
      <c r="D82" s="646"/>
      <c r="E82" s="646"/>
      <c r="F82" s="646"/>
      <c r="G82" s="646"/>
      <c r="H82" s="646"/>
      <c r="I82" s="646"/>
      <c r="J82" s="646"/>
      <c r="K82" s="646"/>
      <c r="L82" s="646"/>
      <c r="M82" s="646"/>
      <c r="N82" s="646"/>
      <c r="O82" s="646"/>
      <c r="P82" s="646"/>
      <c r="Q82" s="646"/>
      <c r="R82" s="646"/>
      <c r="S82" s="646"/>
      <c r="T82" s="646"/>
      <c r="U82" s="646"/>
      <c r="V82" s="646"/>
      <c r="W82" s="646"/>
      <c r="X82" s="646"/>
      <c r="Y82" s="646"/>
      <c r="Z82" s="646"/>
    </row>
    <row r="83" spans="1:26" ht="15.75" customHeight="1">
      <c r="A83" s="646"/>
      <c r="B83" s="646"/>
      <c r="C83" s="646"/>
      <c r="D83" s="646"/>
      <c r="E83" s="646"/>
      <c r="F83" s="646"/>
      <c r="G83" s="646"/>
      <c r="H83" s="646"/>
      <c r="I83" s="646"/>
      <c r="J83" s="646"/>
      <c r="K83" s="646"/>
      <c r="L83" s="646"/>
      <c r="M83" s="646"/>
      <c r="N83" s="646"/>
      <c r="O83" s="646"/>
      <c r="P83" s="646"/>
      <c r="Q83" s="646"/>
      <c r="R83" s="646"/>
      <c r="S83" s="646"/>
      <c r="T83" s="646"/>
      <c r="U83" s="646"/>
      <c r="V83" s="646"/>
      <c r="W83" s="646"/>
      <c r="X83" s="646"/>
      <c r="Y83" s="646"/>
      <c r="Z83" s="646"/>
    </row>
    <row r="84" spans="1:26" ht="15.75" customHeight="1">
      <c r="A84" s="646"/>
      <c r="B84" s="646"/>
      <c r="C84" s="646"/>
      <c r="D84" s="646"/>
      <c r="E84" s="646"/>
      <c r="F84" s="646"/>
      <c r="G84" s="646"/>
      <c r="H84" s="646"/>
      <c r="I84" s="646"/>
      <c r="J84" s="646"/>
      <c r="K84" s="646"/>
      <c r="L84" s="646"/>
      <c r="M84" s="646"/>
      <c r="N84" s="646"/>
      <c r="O84" s="646"/>
      <c r="P84" s="646"/>
      <c r="Q84" s="646"/>
      <c r="R84" s="646"/>
      <c r="S84" s="646"/>
      <c r="T84" s="646"/>
      <c r="U84" s="646"/>
      <c r="V84" s="646"/>
      <c r="W84" s="646"/>
      <c r="X84" s="646"/>
      <c r="Y84" s="646"/>
      <c r="Z84" s="646"/>
    </row>
    <row r="85" spans="1:26" ht="15.75" customHeight="1">
      <c r="A85" s="646"/>
      <c r="B85" s="646"/>
      <c r="C85" s="646"/>
      <c r="D85" s="646"/>
      <c r="E85" s="646"/>
      <c r="F85" s="646"/>
      <c r="G85" s="646"/>
      <c r="H85" s="646"/>
      <c r="I85" s="646"/>
      <c r="J85" s="646"/>
      <c r="K85" s="646"/>
      <c r="L85" s="646"/>
      <c r="M85" s="646"/>
      <c r="N85" s="646"/>
      <c r="O85" s="646"/>
      <c r="P85" s="646"/>
      <c r="Q85" s="646"/>
      <c r="R85" s="646"/>
      <c r="S85" s="646"/>
      <c r="T85" s="646"/>
      <c r="U85" s="646"/>
      <c r="V85" s="646"/>
      <c r="W85" s="646"/>
      <c r="X85" s="646"/>
      <c r="Y85" s="646"/>
      <c r="Z85" s="646"/>
    </row>
    <row r="86" spans="1:26" ht="15.75" customHeight="1">
      <c r="A86" s="646"/>
      <c r="B86" s="646"/>
      <c r="C86" s="646"/>
      <c r="D86" s="646"/>
      <c r="E86" s="646"/>
      <c r="F86" s="646"/>
      <c r="G86" s="646"/>
      <c r="H86" s="646"/>
      <c r="I86" s="646"/>
      <c r="J86" s="646"/>
      <c r="K86" s="646"/>
      <c r="L86" s="646"/>
      <c r="M86" s="646"/>
      <c r="N86" s="646"/>
      <c r="O86" s="646"/>
      <c r="P86" s="646"/>
      <c r="Q86" s="646"/>
      <c r="R86" s="646"/>
      <c r="S86" s="646"/>
      <c r="T86" s="646"/>
      <c r="U86" s="646"/>
      <c r="V86" s="646"/>
      <c r="W86" s="646"/>
      <c r="X86" s="646"/>
      <c r="Y86" s="646"/>
      <c r="Z86" s="646"/>
    </row>
    <row r="87" spans="1:26" ht="15.75" customHeight="1">
      <c r="A87" s="646"/>
      <c r="B87" s="646"/>
      <c r="C87" s="646"/>
      <c r="D87" s="646"/>
      <c r="E87" s="646"/>
      <c r="F87" s="646"/>
      <c r="G87" s="646"/>
      <c r="H87" s="646"/>
      <c r="I87" s="646"/>
      <c r="J87" s="646"/>
      <c r="K87" s="646"/>
      <c r="L87" s="646"/>
      <c r="M87" s="646"/>
      <c r="N87" s="646"/>
      <c r="O87" s="646"/>
      <c r="P87" s="646"/>
      <c r="Q87" s="646"/>
      <c r="R87" s="646"/>
      <c r="S87" s="646"/>
      <c r="T87" s="646"/>
      <c r="U87" s="646"/>
      <c r="V87" s="646"/>
      <c r="W87" s="646"/>
      <c r="X87" s="646"/>
      <c r="Y87" s="646"/>
      <c r="Z87" s="646"/>
    </row>
    <row r="88" spans="1:26" ht="15.75" customHeight="1">
      <c r="A88" s="646"/>
      <c r="B88" s="646"/>
      <c r="C88" s="646"/>
      <c r="D88" s="646"/>
      <c r="E88" s="646"/>
      <c r="F88" s="646"/>
      <c r="G88" s="646"/>
      <c r="H88" s="646"/>
      <c r="I88" s="646"/>
      <c r="J88" s="646"/>
      <c r="K88" s="646"/>
      <c r="L88" s="646"/>
      <c r="M88" s="646"/>
      <c r="N88" s="646"/>
      <c r="O88" s="646"/>
      <c r="P88" s="646"/>
      <c r="Q88" s="646"/>
      <c r="R88" s="646"/>
      <c r="S88" s="646"/>
      <c r="T88" s="646"/>
      <c r="U88" s="646"/>
      <c r="V88" s="646"/>
      <c r="W88" s="646"/>
      <c r="X88" s="646"/>
      <c r="Y88" s="646"/>
      <c r="Z88" s="646"/>
    </row>
    <row r="89" spans="1:26" ht="15.75" customHeight="1">
      <c r="A89" s="646"/>
      <c r="B89" s="646"/>
      <c r="C89" s="646"/>
      <c r="D89" s="646"/>
      <c r="E89" s="646"/>
      <c r="F89" s="646"/>
      <c r="G89" s="646"/>
      <c r="H89" s="646"/>
      <c r="I89" s="646"/>
      <c r="J89" s="646"/>
      <c r="K89" s="646"/>
      <c r="L89" s="646"/>
      <c r="M89" s="646"/>
      <c r="N89" s="646"/>
      <c r="O89" s="646"/>
      <c r="P89" s="646"/>
      <c r="Q89" s="646"/>
      <c r="R89" s="646"/>
      <c r="S89" s="646"/>
      <c r="T89" s="646"/>
      <c r="U89" s="646"/>
      <c r="V89" s="646"/>
      <c r="W89" s="646"/>
      <c r="X89" s="646"/>
      <c r="Y89" s="646"/>
      <c r="Z89" s="646"/>
    </row>
    <row r="90" spans="1:26" ht="15.75" customHeight="1">
      <c r="A90" s="646"/>
      <c r="B90" s="646"/>
      <c r="C90" s="646"/>
      <c r="D90" s="646"/>
      <c r="E90" s="646"/>
      <c r="F90" s="646"/>
      <c r="G90" s="646"/>
      <c r="H90" s="646"/>
      <c r="I90" s="646"/>
      <c r="J90" s="646"/>
      <c r="K90" s="646"/>
      <c r="L90" s="646"/>
      <c r="M90" s="646"/>
      <c r="N90" s="646"/>
      <c r="O90" s="646"/>
      <c r="P90" s="646"/>
      <c r="Q90" s="646"/>
      <c r="R90" s="646"/>
      <c r="S90" s="646"/>
      <c r="T90" s="646"/>
      <c r="U90" s="646"/>
      <c r="V90" s="646"/>
      <c r="W90" s="646"/>
      <c r="X90" s="646"/>
      <c r="Y90" s="646"/>
      <c r="Z90" s="646"/>
    </row>
    <row r="91" spans="1:26" ht="15.75" customHeight="1">
      <c r="A91" s="646"/>
      <c r="B91" s="646"/>
      <c r="C91" s="646"/>
      <c r="D91" s="646"/>
      <c r="E91" s="646"/>
      <c r="F91" s="646"/>
      <c r="G91" s="646"/>
      <c r="H91" s="646"/>
      <c r="I91" s="646"/>
      <c r="J91" s="646"/>
      <c r="K91" s="646"/>
      <c r="L91" s="646"/>
      <c r="M91" s="646"/>
      <c r="N91" s="646"/>
      <c r="O91" s="646"/>
      <c r="P91" s="646"/>
      <c r="Q91" s="646"/>
      <c r="R91" s="646"/>
      <c r="S91" s="646"/>
      <c r="T91" s="646"/>
      <c r="U91" s="646"/>
      <c r="V91" s="646"/>
      <c r="W91" s="646"/>
      <c r="X91" s="646"/>
      <c r="Y91" s="646"/>
      <c r="Z91" s="646"/>
    </row>
    <row r="92" spans="1:26" ht="15.75" customHeight="1">
      <c r="A92" s="646"/>
      <c r="B92" s="646"/>
      <c r="C92" s="646"/>
      <c r="D92" s="646"/>
      <c r="E92" s="646"/>
      <c r="F92" s="646"/>
      <c r="G92" s="646"/>
      <c r="H92" s="646"/>
      <c r="I92" s="646"/>
      <c r="J92" s="646"/>
      <c r="K92" s="646"/>
      <c r="L92" s="646"/>
      <c r="M92" s="646"/>
      <c r="N92" s="646"/>
      <c r="O92" s="646"/>
      <c r="P92" s="646"/>
      <c r="Q92" s="646"/>
      <c r="R92" s="646"/>
      <c r="S92" s="646"/>
      <c r="T92" s="646"/>
      <c r="U92" s="646"/>
      <c r="V92" s="646"/>
      <c r="W92" s="646"/>
      <c r="X92" s="646"/>
      <c r="Y92" s="646"/>
      <c r="Z92" s="646"/>
    </row>
    <row r="93" spans="1:26" ht="15.75" customHeight="1">
      <c r="A93" s="646"/>
      <c r="B93" s="646"/>
      <c r="C93" s="646"/>
      <c r="D93" s="646"/>
      <c r="E93" s="646"/>
      <c r="F93" s="646"/>
      <c r="G93" s="646"/>
      <c r="H93" s="646"/>
      <c r="I93" s="646"/>
      <c r="J93" s="646"/>
      <c r="K93" s="646"/>
      <c r="L93" s="646"/>
      <c r="M93" s="646"/>
      <c r="N93" s="646"/>
      <c r="O93" s="646"/>
      <c r="P93" s="646"/>
      <c r="Q93" s="646"/>
      <c r="R93" s="646"/>
      <c r="S93" s="646"/>
      <c r="T93" s="646"/>
      <c r="U93" s="646"/>
      <c r="V93" s="646"/>
      <c r="W93" s="646"/>
      <c r="X93" s="646"/>
      <c r="Y93" s="646"/>
      <c r="Z93" s="646"/>
    </row>
    <row r="94" spans="1:26" ht="15.75" customHeight="1">
      <c r="A94" s="646"/>
      <c r="B94" s="646"/>
      <c r="C94" s="646"/>
      <c r="D94" s="646"/>
      <c r="E94" s="646"/>
      <c r="F94" s="646"/>
      <c r="G94" s="646"/>
      <c r="H94" s="646"/>
      <c r="I94" s="646"/>
      <c r="J94" s="646"/>
      <c r="K94" s="646"/>
      <c r="L94" s="646"/>
      <c r="M94" s="646"/>
      <c r="N94" s="646"/>
      <c r="O94" s="646"/>
      <c r="P94" s="646"/>
      <c r="Q94" s="646"/>
      <c r="R94" s="646"/>
      <c r="S94" s="646"/>
      <c r="T94" s="646"/>
      <c r="U94" s="646"/>
      <c r="V94" s="646"/>
      <c r="W94" s="646"/>
      <c r="X94" s="646"/>
      <c r="Y94" s="646"/>
      <c r="Z94" s="646"/>
    </row>
    <row r="95" spans="1:26" ht="15.75" customHeight="1">
      <c r="A95" s="646"/>
      <c r="B95" s="646"/>
      <c r="C95" s="646"/>
      <c r="D95" s="646"/>
      <c r="E95" s="646"/>
      <c r="F95" s="646"/>
      <c r="G95" s="646"/>
      <c r="H95" s="646"/>
      <c r="I95" s="646"/>
      <c r="J95" s="646"/>
      <c r="K95" s="646"/>
      <c r="L95" s="646"/>
      <c r="M95" s="646"/>
      <c r="N95" s="646"/>
      <c r="O95" s="646"/>
      <c r="P95" s="646"/>
      <c r="Q95" s="646"/>
      <c r="R95" s="646"/>
      <c r="S95" s="646"/>
      <c r="T95" s="646"/>
      <c r="U95" s="646"/>
      <c r="V95" s="646"/>
      <c r="W95" s="646"/>
      <c r="X95" s="646"/>
      <c r="Y95" s="646"/>
      <c r="Z95" s="646"/>
    </row>
    <row r="96" spans="1:26" ht="15.75" customHeight="1">
      <c r="A96" s="646"/>
      <c r="B96" s="646"/>
      <c r="C96" s="646"/>
      <c r="D96" s="646"/>
      <c r="E96" s="646"/>
      <c r="F96" s="646"/>
      <c r="G96" s="646"/>
      <c r="H96" s="646"/>
      <c r="I96" s="646"/>
      <c r="J96" s="646"/>
      <c r="K96" s="646"/>
      <c r="L96" s="646"/>
      <c r="M96" s="646"/>
      <c r="N96" s="646"/>
      <c r="O96" s="646"/>
      <c r="P96" s="646"/>
      <c r="Q96" s="646"/>
      <c r="R96" s="646"/>
      <c r="S96" s="646"/>
      <c r="T96" s="646"/>
      <c r="U96" s="646"/>
      <c r="V96" s="646"/>
      <c r="W96" s="646"/>
      <c r="X96" s="646"/>
      <c r="Y96" s="646"/>
      <c r="Z96" s="646"/>
    </row>
    <row r="97" spans="1:26" ht="15.75" customHeight="1">
      <c r="A97" s="646"/>
      <c r="B97" s="646"/>
      <c r="C97" s="646"/>
      <c r="D97" s="646"/>
      <c r="E97" s="646"/>
      <c r="F97" s="646"/>
      <c r="G97" s="646"/>
      <c r="H97" s="646"/>
      <c r="I97" s="646"/>
      <c r="J97" s="646"/>
      <c r="K97" s="646"/>
      <c r="L97" s="646"/>
      <c r="M97" s="646"/>
      <c r="N97" s="646"/>
      <c r="O97" s="646"/>
      <c r="P97" s="646"/>
      <c r="Q97" s="646"/>
      <c r="R97" s="646"/>
      <c r="S97" s="646"/>
      <c r="T97" s="646"/>
      <c r="U97" s="646"/>
      <c r="V97" s="646"/>
      <c r="W97" s="646"/>
      <c r="X97" s="646"/>
      <c r="Y97" s="646"/>
      <c r="Z97" s="646"/>
    </row>
    <row r="98" spans="1:26" ht="15.75" customHeight="1">
      <c r="A98" s="646"/>
      <c r="B98" s="646"/>
      <c r="C98" s="646"/>
      <c r="D98" s="646"/>
      <c r="E98" s="646"/>
      <c r="F98" s="646"/>
      <c r="G98" s="646"/>
      <c r="H98" s="646"/>
      <c r="I98" s="646"/>
      <c r="J98" s="646"/>
      <c r="K98" s="646"/>
      <c r="L98" s="646"/>
      <c r="M98" s="646"/>
      <c r="N98" s="646"/>
      <c r="O98" s="646"/>
      <c r="P98" s="646"/>
      <c r="Q98" s="646"/>
      <c r="R98" s="646"/>
      <c r="S98" s="646"/>
      <c r="T98" s="646"/>
      <c r="U98" s="646"/>
      <c r="V98" s="646"/>
      <c r="W98" s="646"/>
      <c r="X98" s="646"/>
      <c r="Y98" s="646"/>
      <c r="Z98" s="646"/>
    </row>
    <row r="99" spans="1:26" ht="15.75" customHeight="1">
      <c r="A99" s="646"/>
      <c r="B99" s="646"/>
      <c r="C99" s="646"/>
      <c r="D99" s="646"/>
      <c r="E99" s="646"/>
      <c r="F99" s="646"/>
      <c r="G99" s="646"/>
      <c r="H99" s="646"/>
      <c r="I99" s="646"/>
      <c r="J99" s="646"/>
      <c r="K99" s="646"/>
      <c r="L99" s="646"/>
      <c r="M99" s="646"/>
      <c r="N99" s="646"/>
      <c r="O99" s="646"/>
      <c r="P99" s="646"/>
      <c r="Q99" s="646"/>
      <c r="R99" s="646"/>
      <c r="S99" s="646"/>
      <c r="T99" s="646"/>
      <c r="U99" s="646"/>
      <c r="V99" s="646"/>
      <c r="W99" s="646"/>
      <c r="X99" s="646"/>
      <c r="Y99" s="646"/>
      <c r="Z99" s="646"/>
    </row>
    <row r="100" spans="1:26" ht="15.75" customHeight="1">
      <c r="A100" s="646"/>
      <c r="B100" s="646"/>
      <c r="C100" s="646"/>
      <c r="D100" s="646"/>
      <c r="E100" s="646"/>
      <c r="F100" s="646"/>
      <c r="G100" s="646"/>
      <c r="H100" s="646"/>
      <c r="I100" s="646"/>
      <c r="J100" s="646"/>
      <c r="K100" s="646"/>
      <c r="L100" s="646"/>
      <c r="M100" s="646"/>
      <c r="N100" s="646"/>
      <c r="O100" s="646"/>
      <c r="P100" s="646"/>
      <c r="Q100" s="646"/>
      <c r="R100" s="646"/>
      <c r="S100" s="646"/>
      <c r="T100" s="646"/>
      <c r="U100" s="646"/>
      <c r="V100" s="646"/>
      <c r="W100" s="646"/>
      <c r="X100" s="646"/>
      <c r="Y100" s="646"/>
      <c r="Z100" s="646"/>
    </row>
    <row r="101" spans="1:26" ht="15.75" customHeight="1">
      <c r="A101" s="646"/>
      <c r="B101" s="646"/>
      <c r="C101" s="646"/>
      <c r="D101" s="646"/>
      <c r="E101" s="646"/>
      <c r="F101" s="646"/>
      <c r="G101" s="646"/>
      <c r="H101" s="646"/>
      <c r="I101" s="646"/>
      <c r="J101" s="646"/>
      <c r="K101" s="646"/>
      <c r="L101" s="646"/>
      <c r="M101" s="646"/>
      <c r="N101" s="646"/>
      <c r="O101" s="646"/>
      <c r="P101" s="646"/>
      <c r="Q101" s="646"/>
      <c r="R101" s="646"/>
      <c r="S101" s="646"/>
      <c r="T101" s="646"/>
      <c r="U101" s="646"/>
      <c r="V101" s="646"/>
      <c r="W101" s="646"/>
      <c r="X101" s="646"/>
      <c r="Y101" s="646"/>
      <c r="Z101" s="646"/>
    </row>
    <row r="102" spans="1:26" ht="15.75" customHeight="1">
      <c r="A102" s="646"/>
      <c r="B102" s="646"/>
      <c r="C102" s="646"/>
      <c r="D102" s="646"/>
      <c r="E102" s="646"/>
      <c r="F102" s="646"/>
      <c r="G102" s="646"/>
      <c r="H102" s="646"/>
      <c r="I102" s="646"/>
      <c r="J102" s="646"/>
      <c r="K102" s="646"/>
      <c r="L102" s="646"/>
      <c r="M102" s="646"/>
      <c r="N102" s="646"/>
      <c r="O102" s="646"/>
      <c r="P102" s="646"/>
      <c r="Q102" s="646"/>
      <c r="R102" s="646"/>
      <c r="S102" s="646"/>
      <c r="T102" s="646"/>
      <c r="U102" s="646"/>
      <c r="V102" s="646"/>
      <c r="W102" s="646"/>
      <c r="X102" s="646"/>
      <c r="Y102" s="646"/>
      <c r="Z102" s="646"/>
    </row>
    <row r="103" spans="1:26" ht="15.75" customHeight="1">
      <c r="A103" s="646"/>
      <c r="B103" s="646"/>
      <c r="C103" s="646"/>
      <c r="D103" s="646"/>
      <c r="E103" s="646"/>
      <c r="F103" s="646"/>
      <c r="G103" s="646"/>
      <c r="H103" s="646"/>
      <c r="I103" s="646"/>
      <c r="J103" s="646"/>
      <c r="K103" s="646"/>
      <c r="L103" s="646"/>
      <c r="M103" s="646"/>
      <c r="N103" s="646"/>
      <c r="O103" s="646"/>
      <c r="P103" s="646"/>
      <c r="Q103" s="646"/>
      <c r="R103" s="646"/>
      <c r="S103" s="646"/>
      <c r="T103" s="646"/>
      <c r="U103" s="646"/>
      <c r="V103" s="646"/>
      <c r="W103" s="646"/>
      <c r="X103" s="646"/>
      <c r="Y103" s="646"/>
      <c r="Z103" s="646"/>
    </row>
    <row r="104" spans="1:26" ht="15.75" customHeight="1">
      <c r="A104" s="646"/>
      <c r="B104" s="646"/>
      <c r="C104" s="646"/>
      <c r="D104" s="646"/>
      <c r="E104" s="646"/>
      <c r="F104" s="646"/>
      <c r="G104" s="646"/>
      <c r="H104" s="646"/>
      <c r="I104" s="646"/>
      <c r="J104" s="646"/>
      <c r="K104" s="646"/>
      <c r="L104" s="646"/>
      <c r="M104" s="646"/>
      <c r="N104" s="646"/>
      <c r="O104" s="646"/>
      <c r="P104" s="646"/>
      <c r="Q104" s="646"/>
      <c r="R104" s="646"/>
      <c r="S104" s="646"/>
      <c r="T104" s="646"/>
      <c r="U104" s="646"/>
      <c r="V104" s="646"/>
      <c r="W104" s="646"/>
      <c r="X104" s="646"/>
      <c r="Y104" s="646"/>
      <c r="Z104" s="646"/>
    </row>
    <row r="105" spans="1:26" ht="15.75" customHeight="1">
      <c r="A105" s="646"/>
      <c r="B105" s="646"/>
      <c r="C105" s="646"/>
      <c r="D105" s="646"/>
      <c r="E105" s="646"/>
      <c r="F105" s="646"/>
      <c r="G105" s="646"/>
      <c r="H105" s="646"/>
      <c r="I105" s="646"/>
      <c r="J105" s="646"/>
      <c r="K105" s="646"/>
      <c r="L105" s="646"/>
      <c r="M105" s="646"/>
      <c r="N105" s="646"/>
      <c r="O105" s="646"/>
      <c r="P105" s="646"/>
      <c r="Q105" s="646"/>
      <c r="R105" s="646"/>
      <c r="S105" s="646"/>
      <c r="T105" s="646"/>
      <c r="U105" s="646"/>
      <c r="V105" s="646"/>
      <c r="W105" s="646"/>
      <c r="X105" s="646"/>
      <c r="Y105" s="646"/>
      <c r="Z105" s="646"/>
    </row>
    <row r="106" spans="1:26" ht="15.75" customHeight="1">
      <c r="A106" s="646"/>
      <c r="B106" s="646"/>
      <c r="C106" s="646"/>
      <c r="D106" s="646"/>
      <c r="E106" s="646"/>
      <c r="F106" s="646"/>
      <c r="G106" s="646"/>
      <c r="H106" s="646"/>
      <c r="I106" s="646"/>
      <c r="J106" s="646"/>
      <c r="K106" s="646"/>
      <c r="L106" s="646"/>
      <c r="M106" s="646"/>
      <c r="N106" s="646"/>
      <c r="O106" s="646"/>
      <c r="P106" s="646"/>
      <c r="Q106" s="646"/>
      <c r="R106" s="646"/>
      <c r="S106" s="646"/>
      <c r="T106" s="646"/>
      <c r="U106" s="646"/>
      <c r="V106" s="646"/>
      <c r="W106" s="646"/>
      <c r="X106" s="646"/>
      <c r="Y106" s="646"/>
      <c r="Z106" s="646"/>
    </row>
    <row r="107" spans="1:26" ht="15.75" customHeight="1">
      <c r="A107" s="646"/>
      <c r="B107" s="646"/>
      <c r="C107" s="646"/>
      <c r="D107" s="646"/>
      <c r="E107" s="646"/>
      <c r="F107" s="646"/>
      <c r="G107" s="646"/>
      <c r="H107" s="646"/>
      <c r="I107" s="646"/>
      <c r="J107" s="646"/>
      <c r="K107" s="646"/>
      <c r="L107" s="646"/>
      <c r="M107" s="646"/>
      <c r="N107" s="646"/>
      <c r="O107" s="646"/>
      <c r="P107" s="646"/>
      <c r="Q107" s="646"/>
      <c r="R107" s="646"/>
      <c r="S107" s="646"/>
      <c r="T107" s="646"/>
      <c r="U107" s="646"/>
      <c r="V107" s="646"/>
      <c r="W107" s="646"/>
      <c r="X107" s="646"/>
      <c r="Y107" s="646"/>
      <c r="Z107" s="646"/>
    </row>
    <row r="108" spans="1:26" ht="15.75" customHeight="1">
      <c r="A108" s="646"/>
      <c r="B108" s="646"/>
      <c r="C108" s="646"/>
      <c r="D108" s="646"/>
      <c r="E108" s="646"/>
      <c r="F108" s="646"/>
      <c r="G108" s="646"/>
      <c r="H108" s="646"/>
      <c r="I108" s="646"/>
      <c r="J108" s="646"/>
      <c r="K108" s="646"/>
      <c r="L108" s="646"/>
      <c r="M108" s="646"/>
      <c r="N108" s="646"/>
      <c r="O108" s="646"/>
      <c r="P108" s="646"/>
      <c r="Q108" s="646"/>
      <c r="R108" s="646"/>
      <c r="S108" s="646"/>
      <c r="T108" s="646"/>
      <c r="U108" s="646"/>
      <c r="V108" s="646"/>
      <c r="W108" s="646"/>
      <c r="X108" s="646"/>
      <c r="Y108" s="646"/>
      <c r="Z108" s="646"/>
    </row>
    <row r="109" spans="1:26" ht="15.75" customHeight="1">
      <c r="A109" s="646"/>
      <c r="B109" s="646"/>
      <c r="C109" s="646"/>
      <c r="D109" s="646"/>
      <c r="E109" s="646"/>
      <c r="F109" s="646"/>
      <c r="G109" s="646"/>
      <c r="H109" s="646"/>
      <c r="I109" s="646"/>
      <c r="J109" s="646"/>
      <c r="K109" s="646"/>
      <c r="L109" s="646"/>
      <c r="M109" s="646"/>
      <c r="N109" s="646"/>
      <c r="O109" s="646"/>
      <c r="P109" s="646"/>
      <c r="Q109" s="646"/>
      <c r="R109" s="646"/>
      <c r="S109" s="646"/>
      <c r="T109" s="646"/>
      <c r="U109" s="646"/>
      <c r="V109" s="646"/>
      <c r="W109" s="646"/>
      <c r="X109" s="646"/>
      <c r="Y109" s="646"/>
      <c r="Z109" s="646"/>
    </row>
    <row r="110" spans="1:26" ht="15.75" customHeight="1">
      <c r="A110" s="646"/>
      <c r="B110" s="646"/>
      <c r="C110" s="646"/>
      <c r="D110" s="646"/>
      <c r="E110" s="646"/>
      <c r="F110" s="646"/>
      <c r="G110" s="646"/>
      <c r="H110" s="646"/>
      <c r="I110" s="646"/>
      <c r="J110" s="646"/>
      <c r="K110" s="646"/>
      <c r="L110" s="646"/>
      <c r="M110" s="646"/>
      <c r="N110" s="646"/>
      <c r="O110" s="646"/>
      <c r="P110" s="646"/>
      <c r="Q110" s="646"/>
      <c r="R110" s="646"/>
      <c r="S110" s="646"/>
      <c r="T110" s="646"/>
      <c r="U110" s="646"/>
      <c r="V110" s="646"/>
      <c r="W110" s="646"/>
      <c r="X110" s="646"/>
      <c r="Y110" s="646"/>
      <c r="Z110" s="646"/>
    </row>
    <row r="111" spans="1:26" ht="15.75" customHeight="1">
      <c r="A111" s="646"/>
      <c r="B111" s="646"/>
      <c r="C111" s="646"/>
      <c r="D111" s="646"/>
      <c r="E111" s="646"/>
      <c r="F111" s="646"/>
      <c r="G111" s="646"/>
      <c r="H111" s="646"/>
      <c r="I111" s="646"/>
      <c r="J111" s="646"/>
      <c r="K111" s="646"/>
      <c r="L111" s="646"/>
      <c r="M111" s="646"/>
      <c r="N111" s="646"/>
      <c r="O111" s="646"/>
      <c r="P111" s="646"/>
      <c r="Q111" s="646"/>
      <c r="R111" s="646"/>
      <c r="S111" s="646"/>
      <c r="T111" s="646"/>
      <c r="U111" s="646"/>
      <c r="V111" s="646"/>
      <c r="W111" s="646"/>
      <c r="X111" s="646"/>
      <c r="Y111" s="646"/>
      <c r="Z111" s="646"/>
    </row>
    <row r="112" spans="1:26" ht="15.75" customHeight="1">
      <c r="A112" s="646"/>
      <c r="B112" s="646"/>
      <c r="C112" s="646"/>
      <c r="D112" s="646"/>
      <c r="E112" s="646"/>
      <c r="F112" s="646"/>
      <c r="G112" s="646"/>
      <c r="H112" s="646"/>
      <c r="I112" s="646"/>
      <c r="J112" s="646"/>
      <c r="K112" s="646"/>
      <c r="L112" s="646"/>
      <c r="M112" s="646"/>
      <c r="N112" s="646"/>
      <c r="O112" s="646"/>
      <c r="P112" s="646"/>
      <c r="Q112" s="646"/>
      <c r="R112" s="646"/>
      <c r="S112" s="646"/>
      <c r="T112" s="646"/>
      <c r="U112" s="646"/>
      <c r="V112" s="646"/>
      <c r="W112" s="646"/>
      <c r="X112" s="646"/>
      <c r="Y112" s="646"/>
      <c r="Z112" s="646"/>
    </row>
    <row r="113" spans="1:26" ht="15.75" customHeight="1">
      <c r="A113" s="646"/>
      <c r="B113" s="646"/>
      <c r="C113" s="646"/>
      <c r="D113" s="646"/>
      <c r="E113" s="646"/>
      <c r="F113" s="646"/>
      <c r="G113" s="646"/>
      <c r="H113" s="646"/>
      <c r="I113" s="646"/>
      <c r="J113" s="646"/>
      <c r="K113" s="646"/>
      <c r="L113" s="646"/>
      <c r="M113" s="646"/>
      <c r="N113" s="646"/>
      <c r="O113" s="646"/>
      <c r="P113" s="646"/>
      <c r="Q113" s="646"/>
      <c r="R113" s="646"/>
      <c r="S113" s="646"/>
      <c r="T113" s="646"/>
      <c r="U113" s="646"/>
      <c r="V113" s="646"/>
      <c r="W113" s="646"/>
      <c r="X113" s="646"/>
      <c r="Y113" s="646"/>
      <c r="Z113" s="646"/>
    </row>
    <row r="114" spans="1:26" ht="15.75" customHeight="1">
      <c r="A114" s="646"/>
      <c r="B114" s="646"/>
      <c r="C114" s="646"/>
      <c r="D114" s="646"/>
      <c r="E114" s="646"/>
      <c r="F114" s="646"/>
      <c r="G114" s="646"/>
      <c r="H114" s="646"/>
      <c r="I114" s="646"/>
      <c r="J114" s="646"/>
      <c r="K114" s="646"/>
      <c r="L114" s="646"/>
      <c r="M114" s="646"/>
      <c r="N114" s="646"/>
      <c r="O114" s="646"/>
      <c r="P114" s="646"/>
      <c r="Q114" s="646"/>
      <c r="R114" s="646"/>
      <c r="S114" s="646"/>
      <c r="T114" s="646"/>
      <c r="U114" s="646"/>
      <c r="V114" s="646"/>
      <c r="W114" s="646"/>
      <c r="X114" s="646"/>
      <c r="Y114" s="646"/>
      <c r="Z114" s="646"/>
    </row>
    <row r="115" spans="1:26" ht="15.75" customHeight="1">
      <c r="A115" s="646"/>
      <c r="B115" s="646"/>
      <c r="C115" s="646"/>
      <c r="D115" s="646"/>
      <c r="E115" s="646"/>
      <c r="F115" s="646"/>
      <c r="G115" s="646"/>
      <c r="H115" s="646"/>
      <c r="I115" s="646"/>
      <c r="J115" s="646"/>
      <c r="K115" s="646"/>
      <c r="L115" s="646"/>
      <c r="M115" s="646"/>
      <c r="N115" s="646"/>
      <c r="O115" s="646"/>
      <c r="P115" s="646"/>
      <c r="Q115" s="646"/>
      <c r="R115" s="646"/>
      <c r="S115" s="646"/>
      <c r="T115" s="646"/>
      <c r="U115" s="646"/>
      <c r="V115" s="646"/>
      <c r="W115" s="646"/>
      <c r="X115" s="646"/>
      <c r="Y115" s="646"/>
      <c r="Z115" s="646"/>
    </row>
    <row r="116" spans="1:26" ht="15.75" customHeight="1">
      <c r="A116" s="646"/>
      <c r="B116" s="646"/>
      <c r="C116" s="646"/>
      <c r="D116" s="646"/>
      <c r="E116" s="646"/>
      <c r="F116" s="646"/>
      <c r="G116" s="646"/>
      <c r="H116" s="646"/>
      <c r="I116" s="646"/>
      <c r="J116" s="646"/>
      <c r="K116" s="646"/>
      <c r="L116" s="646"/>
      <c r="M116" s="646"/>
      <c r="N116" s="646"/>
      <c r="O116" s="646"/>
      <c r="P116" s="646"/>
      <c r="Q116" s="646"/>
      <c r="R116" s="646"/>
      <c r="S116" s="646"/>
      <c r="T116" s="646"/>
      <c r="U116" s="646"/>
      <c r="V116" s="646"/>
      <c r="W116" s="646"/>
      <c r="X116" s="646"/>
      <c r="Y116" s="646"/>
      <c r="Z116" s="646"/>
    </row>
    <row r="117" spans="1:26" ht="15.75" customHeight="1">
      <c r="A117" s="646"/>
      <c r="B117" s="646"/>
      <c r="C117" s="646"/>
      <c r="D117" s="646"/>
      <c r="E117" s="646"/>
      <c r="F117" s="646"/>
      <c r="G117" s="646"/>
      <c r="H117" s="646"/>
      <c r="I117" s="646"/>
      <c r="J117" s="646"/>
      <c r="K117" s="646"/>
      <c r="L117" s="646"/>
      <c r="M117" s="646"/>
      <c r="N117" s="646"/>
      <c r="O117" s="646"/>
      <c r="P117" s="646"/>
      <c r="Q117" s="646"/>
      <c r="R117" s="646"/>
      <c r="S117" s="646"/>
      <c r="T117" s="646"/>
      <c r="U117" s="646"/>
      <c r="V117" s="646"/>
      <c r="W117" s="646"/>
      <c r="X117" s="646"/>
      <c r="Y117" s="646"/>
      <c r="Z117" s="646"/>
    </row>
    <row r="118" spans="1:26" ht="15.75" customHeight="1">
      <c r="A118" s="646"/>
      <c r="B118" s="646"/>
      <c r="C118" s="646"/>
      <c r="D118" s="646"/>
      <c r="E118" s="646"/>
      <c r="F118" s="646"/>
      <c r="G118" s="646"/>
      <c r="H118" s="646"/>
      <c r="I118" s="646"/>
      <c r="J118" s="646"/>
      <c r="K118" s="646"/>
      <c r="L118" s="646"/>
      <c r="M118" s="646"/>
      <c r="N118" s="646"/>
      <c r="O118" s="646"/>
      <c r="P118" s="646"/>
      <c r="Q118" s="646"/>
      <c r="R118" s="646"/>
      <c r="S118" s="646"/>
      <c r="T118" s="646"/>
      <c r="U118" s="646"/>
      <c r="V118" s="646"/>
      <c r="W118" s="646"/>
      <c r="X118" s="646"/>
      <c r="Y118" s="646"/>
      <c r="Z118" s="646"/>
    </row>
    <row r="119" spans="1:26" ht="15.75" customHeight="1">
      <c r="A119" s="646"/>
      <c r="B119" s="646"/>
      <c r="C119" s="646"/>
      <c r="D119" s="646"/>
      <c r="E119" s="646"/>
      <c r="F119" s="646"/>
      <c r="G119" s="646"/>
      <c r="H119" s="646"/>
      <c r="I119" s="646"/>
      <c r="J119" s="646"/>
      <c r="K119" s="646"/>
      <c r="L119" s="646"/>
      <c r="M119" s="646"/>
      <c r="N119" s="646"/>
      <c r="O119" s="646"/>
      <c r="P119" s="646"/>
      <c r="Q119" s="646"/>
      <c r="R119" s="646"/>
      <c r="S119" s="646"/>
      <c r="T119" s="646"/>
      <c r="U119" s="646"/>
      <c r="V119" s="646"/>
      <c r="W119" s="646"/>
      <c r="X119" s="646"/>
      <c r="Y119" s="646"/>
      <c r="Z119" s="646"/>
    </row>
    <row r="120" spans="1:26" ht="15.75" customHeight="1">
      <c r="A120" s="646"/>
      <c r="B120" s="646"/>
      <c r="C120" s="646"/>
      <c r="D120" s="646"/>
      <c r="E120" s="646"/>
      <c r="F120" s="646"/>
      <c r="G120" s="646"/>
      <c r="H120" s="646"/>
      <c r="I120" s="646"/>
      <c r="J120" s="646"/>
      <c r="K120" s="646"/>
      <c r="L120" s="646"/>
      <c r="M120" s="646"/>
      <c r="N120" s="646"/>
      <c r="O120" s="646"/>
      <c r="P120" s="646"/>
      <c r="Q120" s="646"/>
      <c r="R120" s="646"/>
      <c r="S120" s="646"/>
      <c r="T120" s="646"/>
      <c r="U120" s="646"/>
      <c r="V120" s="646"/>
      <c r="W120" s="646"/>
      <c r="X120" s="646"/>
      <c r="Y120" s="646"/>
      <c r="Z120" s="646"/>
    </row>
    <row r="121" spans="1:26" ht="15.75" customHeight="1">
      <c r="A121" s="646"/>
      <c r="B121" s="646"/>
      <c r="C121" s="646"/>
      <c r="D121" s="646"/>
      <c r="E121" s="646"/>
      <c r="F121" s="646"/>
      <c r="G121" s="646"/>
      <c r="H121" s="646"/>
      <c r="I121" s="646"/>
      <c r="J121" s="646"/>
      <c r="K121" s="646"/>
      <c r="L121" s="646"/>
      <c r="M121" s="646"/>
      <c r="N121" s="646"/>
      <c r="O121" s="646"/>
      <c r="P121" s="646"/>
      <c r="Q121" s="646"/>
      <c r="R121" s="646"/>
      <c r="S121" s="646"/>
      <c r="T121" s="646"/>
      <c r="U121" s="646"/>
      <c r="V121" s="646"/>
      <c r="W121" s="646"/>
      <c r="X121" s="646"/>
      <c r="Y121" s="646"/>
      <c r="Z121" s="646"/>
    </row>
    <row r="122" spans="1:26" ht="15.75" customHeight="1">
      <c r="A122" s="646"/>
      <c r="B122" s="646"/>
      <c r="C122" s="646"/>
      <c r="D122" s="646"/>
      <c r="E122" s="646"/>
      <c r="F122" s="646"/>
      <c r="G122" s="646"/>
      <c r="H122" s="646"/>
      <c r="I122" s="646"/>
      <c r="J122" s="646"/>
      <c r="K122" s="646"/>
      <c r="L122" s="646"/>
      <c r="M122" s="646"/>
      <c r="N122" s="646"/>
      <c r="O122" s="646"/>
      <c r="P122" s="646"/>
      <c r="Q122" s="646"/>
      <c r="R122" s="646"/>
      <c r="S122" s="646"/>
      <c r="T122" s="646"/>
      <c r="U122" s="646"/>
      <c r="V122" s="646"/>
      <c r="W122" s="646"/>
      <c r="X122" s="646"/>
      <c r="Y122" s="646"/>
      <c r="Z122" s="646"/>
    </row>
    <row r="123" spans="1:26" ht="15.75" customHeight="1">
      <c r="A123" s="646"/>
      <c r="B123" s="646"/>
      <c r="C123" s="646"/>
      <c r="D123" s="646"/>
      <c r="E123" s="646"/>
      <c r="F123" s="646"/>
      <c r="G123" s="646"/>
      <c r="H123" s="646"/>
      <c r="I123" s="646"/>
      <c r="J123" s="646"/>
      <c r="K123" s="646"/>
      <c r="L123" s="646"/>
      <c r="M123" s="646"/>
      <c r="N123" s="646"/>
      <c r="O123" s="646"/>
      <c r="P123" s="646"/>
      <c r="Q123" s="646"/>
      <c r="R123" s="646"/>
      <c r="S123" s="646"/>
      <c r="T123" s="646"/>
      <c r="U123" s="646"/>
      <c r="V123" s="646"/>
      <c r="W123" s="646"/>
      <c r="X123" s="646"/>
      <c r="Y123" s="646"/>
      <c r="Z123" s="646"/>
    </row>
    <row r="124" spans="1:26" ht="15.75" customHeight="1">
      <c r="A124" s="646"/>
      <c r="B124" s="646"/>
      <c r="C124" s="646"/>
      <c r="D124" s="646"/>
      <c r="E124" s="646"/>
      <c r="F124" s="646"/>
      <c r="G124" s="646"/>
      <c r="H124" s="646"/>
      <c r="I124" s="646"/>
      <c r="J124" s="646"/>
      <c r="K124" s="646"/>
      <c r="L124" s="646"/>
      <c r="M124" s="646"/>
      <c r="N124" s="646"/>
      <c r="O124" s="646"/>
      <c r="P124" s="646"/>
      <c r="Q124" s="646"/>
      <c r="R124" s="646"/>
      <c r="S124" s="646"/>
      <c r="T124" s="646"/>
      <c r="U124" s="646"/>
      <c r="V124" s="646"/>
      <c r="W124" s="646"/>
      <c r="X124" s="646"/>
      <c r="Y124" s="646"/>
      <c r="Z124" s="646"/>
    </row>
    <row r="125" spans="1:26" ht="15.75" customHeight="1">
      <c r="A125" s="646"/>
      <c r="B125" s="646"/>
      <c r="C125" s="646"/>
      <c r="D125" s="646"/>
      <c r="E125" s="646"/>
      <c r="F125" s="646"/>
      <c r="G125" s="646"/>
      <c r="H125" s="646"/>
      <c r="I125" s="646"/>
      <c r="J125" s="646"/>
      <c r="K125" s="646"/>
      <c r="L125" s="646"/>
      <c r="M125" s="646"/>
      <c r="N125" s="646"/>
      <c r="O125" s="646"/>
      <c r="P125" s="646"/>
      <c r="Q125" s="646"/>
      <c r="R125" s="646"/>
      <c r="S125" s="646"/>
      <c r="T125" s="646"/>
      <c r="U125" s="646"/>
      <c r="V125" s="646"/>
      <c r="W125" s="646"/>
      <c r="X125" s="646"/>
      <c r="Y125" s="646"/>
      <c r="Z125" s="646"/>
    </row>
    <row r="126" spans="1:26" ht="15.75" customHeight="1">
      <c r="A126" s="646"/>
      <c r="B126" s="646"/>
      <c r="C126" s="646"/>
      <c r="D126" s="646"/>
      <c r="E126" s="646"/>
      <c r="F126" s="646"/>
      <c r="G126" s="646"/>
      <c r="H126" s="646"/>
      <c r="I126" s="646"/>
      <c r="J126" s="646"/>
      <c r="K126" s="646"/>
      <c r="L126" s="646"/>
      <c r="M126" s="646"/>
      <c r="N126" s="646"/>
      <c r="O126" s="646"/>
      <c r="P126" s="646"/>
      <c r="Q126" s="646"/>
      <c r="R126" s="646"/>
      <c r="S126" s="646"/>
      <c r="T126" s="646"/>
      <c r="U126" s="646"/>
      <c r="V126" s="646"/>
      <c r="W126" s="646"/>
      <c r="X126" s="646"/>
      <c r="Y126" s="646"/>
      <c r="Z126" s="646"/>
    </row>
    <row r="127" spans="1:26" ht="15.75" customHeight="1">
      <c r="A127" s="646"/>
      <c r="B127" s="646"/>
      <c r="C127" s="646"/>
      <c r="D127" s="646"/>
      <c r="E127" s="646"/>
      <c r="F127" s="646"/>
      <c r="G127" s="646"/>
      <c r="H127" s="646"/>
      <c r="I127" s="646"/>
      <c r="J127" s="646"/>
      <c r="K127" s="646"/>
      <c r="L127" s="646"/>
      <c r="M127" s="646"/>
      <c r="N127" s="646"/>
      <c r="O127" s="646"/>
      <c r="P127" s="646"/>
      <c r="Q127" s="646"/>
      <c r="R127" s="646"/>
      <c r="S127" s="646"/>
      <c r="T127" s="646"/>
      <c r="U127" s="646"/>
      <c r="V127" s="646"/>
      <c r="W127" s="646"/>
      <c r="X127" s="646"/>
      <c r="Y127" s="646"/>
      <c r="Z127" s="646"/>
    </row>
    <row r="128" spans="1:26" ht="15.75" customHeight="1">
      <c r="A128" s="646"/>
      <c r="B128" s="646"/>
      <c r="C128" s="646"/>
      <c r="D128" s="646"/>
      <c r="E128" s="646"/>
      <c r="F128" s="646"/>
      <c r="G128" s="646"/>
      <c r="H128" s="646"/>
      <c r="I128" s="646"/>
      <c r="J128" s="646"/>
      <c r="K128" s="646"/>
      <c r="L128" s="646"/>
      <c r="M128" s="646"/>
      <c r="N128" s="646"/>
      <c r="O128" s="646"/>
      <c r="P128" s="646"/>
      <c r="Q128" s="646"/>
      <c r="R128" s="646"/>
      <c r="S128" s="646"/>
      <c r="T128" s="646"/>
      <c r="U128" s="646"/>
      <c r="V128" s="646"/>
      <c r="W128" s="646"/>
      <c r="X128" s="646"/>
      <c r="Y128" s="646"/>
      <c r="Z128" s="646"/>
    </row>
    <row r="129" spans="1:26" ht="15.75" customHeight="1">
      <c r="A129" s="646"/>
      <c r="B129" s="646"/>
      <c r="C129" s="646"/>
      <c r="D129" s="646"/>
      <c r="E129" s="646"/>
      <c r="F129" s="646"/>
      <c r="G129" s="646"/>
      <c r="H129" s="646"/>
      <c r="I129" s="646"/>
      <c r="J129" s="646"/>
      <c r="K129" s="646"/>
      <c r="L129" s="646"/>
      <c r="M129" s="646"/>
      <c r="N129" s="646"/>
      <c r="O129" s="646"/>
      <c r="P129" s="646"/>
      <c r="Q129" s="646"/>
      <c r="R129" s="646"/>
      <c r="S129" s="646"/>
      <c r="T129" s="646"/>
      <c r="U129" s="646"/>
      <c r="V129" s="646"/>
      <c r="W129" s="646"/>
      <c r="X129" s="646"/>
      <c r="Y129" s="646"/>
      <c r="Z129" s="646"/>
    </row>
    <row r="130" spans="1:26" ht="15.75" customHeight="1">
      <c r="A130" s="646"/>
      <c r="B130" s="646"/>
      <c r="C130" s="646"/>
      <c r="D130" s="646"/>
      <c r="E130" s="646"/>
      <c r="F130" s="646"/>
      <c r="G130" s="646"/>
      <c r="H130" s="646"/>
      <c r="I130" s="646"/>
      <c r="J130" s="646"/>
      <c r="K130" s="646"/>
      <c r="L130" s="646"/>
      <c r="M130" s="646"/>
      <c r="N130" s="646"/>
      <c r="O130" s="646"/>
      <c r="P130" s="646"/>
      <c r="Q130" s="646"/>
      <c r="R130" s="646"/>
      <c r="S130" s="646"/>
      <c r="T130" s="646"/>
      <c r="U130" s="646"/>
      <c r="V130" s="646"/>
      <c r="W130" s="646"/>
      <c r="X130" s="646"/>
      <c r="Y130" s="646"/>
      <c r="Z130" s="646"/>
    </row>
    <row r="131" spans="1:26" ht="15.75" customHeight="1">
      <c r="A131" s="646"/>
      <c r="B131" s="646"/>
      <c r="C131" s="646"/>
      <c r="D131" s="646"/>
      <c r="E131" s="646"/>
      <c r="F131" s="646"/>
      <c r="G131" s="646"/>
      <c r="H131" s="646"/>
      <c r="I131" s="646"/>
      <c r="J131" s="646"/>
      <c r="K131" s="646"/>
      <c r="L131" s="646"/>
      <c r="M131" s="646"/>
      <c r="N131" s="646"/>
      <c r="O131" s="646"/>
      <c r="P131" s="646"/>
      <c r="Q131" s="646"/>
      <c r="R131" s="646"/>
      <c r="S131" s="646"/>
      <c r="T131" s="646"/>
      <c r="U131" s="646"/>
      <c r="V131" s="646"/>
      <c r="W131" s="646"/>
      <c r="X131" s="646"/>
      <c r="Y131" s="646"/>
      <c r="Z131" s="646"/>
    </row>
    <row r="132" spans="1:26" ht="15.75" customHeight="1">
      <c r="A132" s="646"/>
      <c r="B132" s="646"/>
      <c r="C132" s="646"/>
      <c r="D132" s="646"/>
      <c r="E132" s="646"/>
      <c r="F132" s="646"/>
      <c r="G132" s="646"/>
      <c r="H132" s="646"/>
      <c r="I132" s="646"/>
      <c r="J132" s="646"/>
      <c r="K132" s="646"/>
      <c r="L132" s="646"/>
      <c r="M132" s="646"/>
      <c r="N132" s="646"/>
      <c r="O132" s="646"/>
      <c r="P132" s="646"/>
      <c r="Q132" s="646"/>
      <c r="R132" s="646"/>
      <c r="S132" s="646"/>
      <c r="T132" s="646"/>
      <c r="U132" s="646"/>
      <c r="V132" s="646"/>
      <c r="W132" s="646"/>
      <c r="X132" s="646"/>
      <c r="Y132" s="646"/>
      <c r="Z132" s="646"/>
    </row>
    <row r="133" spans="1:26" ht="15.75" customHeight="1">
      <c r="A133" s="646"/>
      <c r="B133" s="646"/>
      <c r="C133" s="646"/>
      <c r="D133" s="646"/>
      <c r="E133" s="646"/>
      <c r="F133" s="646"/>
      <c r="G133" s="646"/>
      <c r="H133" s="646"/>
      <c r="I133" s="646"/>
      <c r="J133" s="646"/>
      <c r="K133" s="646"/>
      <c r="L133" s="646"/>
      <c r="M133" s="646"/>
      <c r="N133" s="646"/>
      <c r="O133" s="646"/>
      <c r="P133" s="646"/>
      <c r="Q133" s="646"/>
      <c r="R133" s="646"/>
      <c r="S133" s="646"/>
      <c r="T133" s="646"/>
      <c r="U133" s="646"/>
      <c r="V133" s="646"/>
      <c r="W133" s="646"/>
      <c r="X133" s="646"/>
      <c r="Y133" s="646"/>
      <c r="Z133" s="646"/>
    </row>
    <row r="134" spans="1:26" ht="15.75" customHeight="1">
      <c r="A134" s="646"/>
      <c r="B134" s="646"/>
      <c r="C134" s="646"/>
      <c r="D134" s="646"/>
      <c r="E134" s="646"/>
      <c r="F134" s="646"/>
      <c r="G134" s="646"/>
      <c r="H134" s="646"/>
      <c r="I134" s="646"/>
      <c r="J134" s="646"/>
      <c r="K134" s="646"/>
      <c r="L134" s="646"/>
      <c r="M134" s="646"/>
      <c r="N134" s="646"/>
      <c r="O134" s="646"/>
      <c r="P134" s="646"/>
      <c r="Q134" s="646"/>
      <c r="R134" s="646"/>
      <c r="S134" s="646"/>
      <c r="T134" s="646"/>
      <c r="U134" s="646"/>
      <c r="V134" s="646"/>
      <c r="W134" s="646"/>
      <c r="X134" s="646"/>
      <c r="Y134" s="646"/>
      <c r="Z134" s="646"/>
    </row>
    <row r="135" spans="1:26" ht="15.75" customHeight="1">
      <c r="A135" s="646"/>
      <c r="B135" s="646"/>
      <c r="C135" s="646"/>
      <c r="D135" s="646"/>
      <c r="E135" s="646"/>
      <c r="F135" s="646"/>
      <c r="G135" s="646"/>
      <c r="H135" s="646"/>
      <c r="I135" s="646"/>
      <c r="J135" s="646"/>
      <c r="K135" s="646"/>
      <c r="L135" s="646"/>
      <c r="M135" s="646"/>
      <c r="N135" s="646"/>
      <c r="O135" s="646"/>
      <c r="P135" s="646"/>
      <c r="Q135" s="646"/>
      <c r="R135" s="646"/>
      <c r="S135" s="646"/>
      <c r="T135" s="646"/>
      <c r="U135" s="646"/>
      <c r="V135" s="646"/>
      <c r="W135" s="646"/>
      <c r="X135" s="646"/>
      <c r="Y135" s="646"/>
      <c r="Z135" s="646"/>
    </row>
    <row r="136" spans="1:26" ht="15.75" customHeight="1">
      <c r="A136" s="646"/>
      <c r="B136" s="646"/>
      <c r="C136" s="646"/>
      <c r="D136" s="646"/>
      <c r="E136" s="646"/>
      <c r="F136" s="646"/>
      <c r="G136" s="646"/>
      <c r="H136" s="646"/>
      <c r="I136" s="646"/>
      <c r="J136" s="646"/>
      <c r="K136" s="646"/>
      <c r="L136" s="646"/>
      <c r="M136" s="646"/>
      <c r="N136" s="646"/>
      <c r="O136" s="646"/>
      <c r="P136" s="646"/>
      <c r="Q136" s="646"/>
      <c r="R136" s="646"/>
      <c r="S136" s="646"/>
      <c r="T136" s="646"/>
      <c r="U136" s="646"/>
      <c r="V136" s="646"/>
      <c r="W136" s="646"/>
      <c r="X136" s="646"/>
      <c r="Y136" s="646"/>
      <c r="Z136" s="646"/>
    </row>
    <row r="137" spans="1:26" ht="15.75" customHeight="1">
      <c r="A137" s="646"/>
      <c r="B137" s="646"/>
      <c r="C137" s="646"/>
      <c r="D137" s="646"/>
      <c r="E137" s="646"/>
      <c r="F137" s="646"/>
      <c r="G137" s="646"/>
      <c r="H137" s="646"/>
      <c r="I137" s="646"/>
      <c r="J137" s="646"/>
      <c r="K137" s="646"/>
      <c r="L137" s="646"/>
      <c r="M137" s="646"/>
      <c r="N137" s="646"/>
      <c r="O137" s="646"/>
      <c r="P137" s="646"/>
      <c r="Q137" s="646"/>
      <c r="R137" s="646"/>
      <c r="S137" s="646"/>
      <c r="T137" s="646"/>
      <c r="U137" s="646"/>
      <c r="V137" s="646"/>
      <c r="W137" s="646"/>
      <c r="X137" s="646"/>
      <c r="Y137" s="646"/>
      <c r="Z137" s="646"/>
    </row>
    <row r="138" spans="1:26" ht="15.75" customHeight="1">
      <c r="A138" s="646"/>
      <c r="B138" s="646"/>
      <c r="C138" s="646"/>
      <c r="D138" s="646"/>
      <c r="E138" s="646"/>
      <c r="F138" s="646"/>
      <c r="G138" s="646"/>
      <c r="H138" s="646"/>
      <c r="I138" s="646"/>
      <c r="J138" s="646"/>
      <c r="K138" s="646"/>
      <c r="L138" s="646"/>
      <c r="M138" s="646"/>
      <c r="N138" s="646"/>
      <c r="O138" s="646"/>
      <c r="P138" s="646"/>
      <c r="Q138" s="646"/>
      <c r="R138" s="646"/>
      <c r="S138" s="646"/>
      <c r="T138" s="646"/>
      <c r="U138" s="646"/>
      <c r="V138" s="646"/>
      <c r="W138" s="646"/>
      <c r="X138" s="646"/>
      <c r="Y138" s="646"/>
      <c r="Z138" s="646"/>
    </row>
    <row r="139" spans="1:26" ht="15.75" customHeight="1">
      <c r="A139" s="646"/>
      <c r="B139" s="646"/>
      <c r="C139" s="646"/>
      <c r="D139" s="646"/>
      <c r="E139" s="646"/>
      <c r="F139" s="646"/>
      <c r="G139" s="646"/>
      <c r="H139" s="646"/>
      <c r="I139" s="646"/>
      <c r="J139" s="646"/>
      <c r="K139" s="646"/>
      <c r="L139" s="646"/>
      <c r="M139" s="646"/>
      <c r="N139" s="646"/>
      <c r="O139" s="646"/>
      <c r="P139" s="646"/>
      <c r="Q139" s="646"/>
      <c r="R139" s="646"/>
      <c r="S139" s="646"/>
      <c r="T139" s="646"/>
      <c r="U139" s="646"/>
      <c r="V139" s="646"/>
      <c r="W139" s="646"/>
      <c r="X139" s="646"/>
      <c r="Y139" s="646"/>
      <c r="Z139" s="646"/>
    </row>
    <row r="140" spans="1:26" ht="15.75" customHeight="1">
      <c r="A140" s="646"/>
      <c r="B140" s="646"/>
      <c r="C140" s="646"/>
      <c r="D140" s="646"/>
      <c r="E140" s="646"/>
      <c r="F140" s="646"/>
      <c r="G140" s="646"/>
      <c r="H140" s="646"/>
      <c r="I140" s="646"/>
      <c r="J140" s="646"/>
      <c r="K140" s="646"/>
      <c r="L140" s="646"/>
      <c r="M140" s="646"/>
      <c r="N140" s="646"/>
      <c r="O140" s="646"/>
      <c r="P140" s="646"/>
      <c r="Q140" s="646"/>
      <c r="R140" s="646"/>
      <c r="S140" s="646"/>
      <c r="T140" s="646"/>
      <c r="U140" s="646"/>
      <c r="V140" s="646"/>
      <c r="W140" s="646"/>
      <c r="X140" s="646"/>
      <c r="Y140" s="646"/>
      <c r="Z140" s="646"/>
    </row>
    <row r="141" spans="1:26" ht="15.75" customHeight="1">
      <c r="A141" s="646"/>
      <c r="B141" s="646"/>
      <c r="C141" s="646"/>
      <c r="D141" s="646"/>
      <c r="E141" s="646"/>
      <c r="F141" s="646"/>
      <c r="G141" s="646"/>
      <c r="H141" s="646"/>
      <c r="I141" s="646"/>
      <c r="J141" s="646"/>
      <c r="K141" s="646"/>
      <c r="L141" s="646"/>
      <c r="M141" s="646"/>
      <c r="N141" s="646"/>
      <c r="O141" s="646"/>
      <c r="P141" s="646"/>
      <c r="Q141" s="646"/>
      <c r="R141" s="646"/>
      <c r="S141" s="646"/>
      <c r="T141" s="646"/>
      <c r="U141" s="646"/>
      <c r="V141" s="646"/>
      <c r="W141" s="646"/>
      <c r="X141" s="646"/>
      <c r="Y141" s="646"/>
      <c r="Z141" s="646"/>
    </row>
    <row r="142" spans="1:26" ht="15.75" customHeight="1">
      <c r="A142" s="646"/>
      <c r="B142" s="646"/>
      <c r="C142" s="646"/>
      <c r="D142" s="646"/>
      <c r="E142" s="646"/>
      <c r="F142" s="646"/>
      <c r="G142" s="646"/>
      <c r="H142" s="646"/>
      <c r="I142" s="646"/>
      <c r="J142" s="646"/>
      <c r="K142" s="646"/>
      <c r="L142" s="646"/>
      <c r="M142" s="646"/>
      <c r="N142" s="646"/>
      <c r="O142" s="646"/>
      <c r="P142" s="646"/>
      <c r="Q142" s="646"/>
      <c r="R142" s="646"/>
      <c r="S142" s="646"/>
      <c r="T142" s="646"/>
      <c r="U142" s="646"/>
      <c r="V142" s="646"/>
      <c r="W142" s="646"/>
      <c r="X142" s="646"/>
      <c r="Y142" s="646"/>
      <c r="Z142" s="646"/>
    </row>
    <row r="143" spans="1:26" ht="15.75" customHeight="1">
      <c r="A143" s="646"/>
      <c r="B143" s="646"/>
      <c r="C143" s="646"/>
      <c r="D143" s="646"/>
      <c r="E143" s="646"/>
      <c r="F143" s="646"/>
      <c r="G143" s="646"/>
      <c r="H143" s="646"/>
      <c r="I143" s="646"/>
      <c r="J143" s="646"/>
      <c r="K143" s="646"/>
      <c r="L143" s="646"/>
      <c r="M143" s="646"/>
      <c r="N143" s="646"/>
      <c r="O143" s="646"/>
      <c r="P143" s="646"/>
      <c r="Q143" s="646"/>
      <c r="R143" s="646"/>
      <c r="S143" s="646"/>
      <c r="T143" s="646"/>
      <c r="U143" s="646"/>
      <c r="V143" s="646"/>
      <c r="W143" s="646"/>
      <c r="X143" s="646"/>
      <c r="Y143" s="646"/>
      <c r="Z143" s="646"/>
    </row>
    <row r="144" spans="1:26" ht="15.75" customHeight="1">
      <c r="A144" s="646"/>
      <c r="B144" s="646"/>
      <c r="C144" s="646"/>
      <c r="D144" s="646"/>
      <c r="E144" s="646"/>
      <c r="F144" s="646"/>
      <c r="G144" s="646"/>
      <c r="H144" s="646"/>
      <c r="I144" s="646"/>
      <c r="J144" s="646"/>
      <c r="K144" s="646"/>
      <c r="L144" s="646"/>
      <c r="M144" s="646"/>
      <c r="N144" s="646"/>
      <c r="O144" s="646"/>
      <c r="P144" s="646"/>
      <c r="Q144" s="646"/>
      <c r="R144" s="646"/>
      <c r="S144" s="646"/>
      <c r="T144" s="646"/>
      <c r="U144" s="646"/>
      <c r="V144" s="646"/>
      <c r="W144" s="646"/>
      <c r="X144" s="646"/>
      <c r="Y144" s="646"/>
      <c r="Z144" s="646"/>
    </row>
    <row r="145" spans="1:26" ht="15.75" customHeight="1">
      <c r="A145" s="646"/>
      <c r="B145" s="646"/>
      <c r="C145" s="646"/>
      <c r="D145" s="646"/>
      <c r="E145" s="646"/>
      <c r="F145" s="646"/>
      <c r="G145" s="646"/>
      <c r="H145" s="646"/>
      <c r="I145" s="646"/>
      <c r="J145" s="646"/>
      <c r="K145" s="646"/>
      <c r="L145" s="646"/>
      <c r="M145" s="646"/>
      <c r="N145" s="646"/>
      <c r="O145" s="646"/>
      <c r="P145" s="646"/>
      <c r="Q145" s="646"/>
      <c r="R145" s="646"/>
      <c r="S145" s="646"/>
      <c r="T145" s="646"/>
      <c r="U145" s="646"/>
      <c r="V145" s="646"/>
      <c r="W145" s="646"/>
      <c r="X145" s="646"/>
      <c r="Y145" s="646"/>
      <c r="Z145" s="646"/>
    </row>
    <row r="146" spans="1:26" ht="15.75" customHeight="1">
      <c r="A146" s="646"/>
      <c r="B146" s="646"/>
      <c r="C146" s="646"/>
      <c r="D146" s="646"/>
      <c r="E146" s="646"/>
      <c r="F146" s="646"/>
      <c r="G146" s="646"/>
      <c r="H146" s="646"/>
      <c r="I146" s="646"/>
      <c r="J146" s="646"/>
      <c r="K146" s="646"/>
      <c r="L146" s="646"/>
      <c r="M146" s="646"/>
      <c r="N146" s="646"/>
      <c r="O146" s="646"/>
      <c r="P146" s="646"/>
      <c r="Q146" s="646"/>
      <c r="R146" s="646"/>
      <c r="S146" s="646"/>
      <c r="T146" s="646"/>
      <c r="U146" s="646"/>
      <c r="V146" s="646"/>
      <c r="W146" s="646"/>
      <c r="X146" s="646"/>
      <c r="Y146" s="646"/>
      <c r="Z146" s="646"/>
    </row>
    <row r="147" spans="1:26" ht="15.75" customHeight="1">
      <c r="A147" s="646"/>
      <c r="B147" s="646"/>
      <c r="C147" s="646"/>
      <c r="D147" s="646"/>
      <c r="E147" s="646"/>
      <c r="F147" s="646"/>
      <c r="G147" s="646"/>
      <c r="H147" s="646"/>
      <c r="I147" s="646"/>
      <c r="J147" s="646"/>
      <c r="K147" s="646"/>
      <c r="L147" s="646"/>
      <c r="M147" s="646"/>
      <c r="N147" s="646"/>
      <c r="O147" s="646"/>
      <c r="P147" s="646"/>
      <c r="Q147" s="646"/>
      <c r="R147" s="646"/>
      <c r="S147" s="646"/>
      <c r="T147" s="646"/>
      <c r="U147" s="646"/>
      <c r="V147" s="646"/>
      <c r="W147" s="646"/>
      <c r="X147" s="646"/>
      <c r="Y147" s="646"/>
      <c r="Z147" s="646"/>
    </row>
    <row r="148" spans="1:26" ht="15.75" customHeight="1">
      <c r="A148" s="646"/>
      <c r="B148" s="646"/>
      <c r="C148" s="646"/>
      <c r="D148" s="646"/>
      <c r="E148" s="646"/>
      <c r="F148" s="646"/>
      <c r="G148" s="646"/>
      <c r="H148" s="646"/>
      <c r="I148" s="646"/>
      <c r="J148" s="646"/>
      <c r="K148" s="646"/>
      <c r="L148" s="646"/>
      <c r="M148" s="646"/>
      <c r="N148" s="646"/>
      <c r="O148" s="646"/>
      <c r="P148" s="646"/>
      <c r="Q148" s="646"/>
      <c r="R148" s="646"/>
      <c r="S148" s="646"/>
      <c r="T148" s="646"/>
      <c r="U148" s="646"/>
      <c r="V148" s="646"/>
      <c r="W148" s="646"/>
      <c r="X148" s="646"/>
      <c r="Y148" s="646"/>
      <c r="Z148" s="646"/>
    </row>
    <row r="149" spans="1:26" ht="15.75" customHeight="1">
      <c r="A149" s="646"/>
      <c r="B149" s="646"/>
      <c r="C149" s="646"/>
      <c r="D149" s="646"/>
      <c r="E149" s="646"/>
      <c r="F149" s="646"/>
      <c r="G149" s="646"/>
      <c r="H149" s="646"/>
      <c r="I149" s="646"/>
      <c r="J149" s="646"/>
      <c r="K149" s="646"/>
      <c r="L149" s="646"/>
      <c r="M149" s="646"/>
      <c r="N149" s="646"/>
      <c r="O149" s="646"/>
      <c r="P149" s="646"/>
      <c r="Q149" s="646"/>
      <c r="R149" s="646"/>
      <c r="S149" s="646"/>
      <c r="T149" s="646"/>
      <c r="U149" s="646"/>
      <c r="V149" s="646"/>
      <c r="W149" s="646"/>
      <c r="X149" s="646"/>
      <c r="Y149" s="646"/>
      <c r="Z149" s="646"/>
    </row>
    <row r="150" spans="1:26" ht="15.75" customHeight="1">
      <c r="A150" s="646"/>
      <c r="B150" s="646"/>
      <c r="C150" s="646"/>
      <c r="D150" s="646"/>
      <c r="E150" s="646"/>
      <c r="F150" s="646"/>
      <c r="G150" s="646"/>
      <c r="H150" s="646"/>
      <c r="I150" s="646"/>
      <c r="J150" s="646"/>
      <c r="K150" s="646"/>
      <c r="L150" s="646"/>
      <c r="M150" s="646"/>
      <c r="N150" s="646"/>
      <c r="O150" s="646"/>
      <c r="P150" s="646"/>
      <c r="Q150" s="646"/>
      <c r="R150" s="646"/>
      <c r="S150" s="646"/>
      <c r="T150" s="646"/>
      <c r="U150" s="646"/>
      <c r="V150" s="646"/>
      <c r="W150" s="646"/>
      <c r="X150" s="646"/>
      <c r="Y150" s="646"/>
      <c r="Z150" s="646"/>
    </row>
    <row r="151" spans="1:26" ht="15.75" customHeight="1">
      <c r="A151" s="646"/>
      <c r="B151" s="646"/>
      <c r="C151" s="646"/>
      <c r="D151" s="646"/>
      <c r="E151" s="646"/>
      <c r="F151" s="646"/>
      <c r="G151" s="646"/>
      <c r="H151" s="646"/>
      <c r="I151" s="646"/>
      <c r="J151" s="646"/>
      <c r="K151" s="646"/>
      <c r="L151" s="646"/>
      <c r="M151" s="646"/>
      <c r="N151" s="646"/>
      <c r="O151" s="646"/>
      <c r="P151" s="646"/>
      <c r="Q151" s="646"/>
      <c r="R151" s="646"/>
      <c r="S151" s="646"/>
      <c r="T151" s="646"/>
      <c r="U151" s="646"/>
      <c r="V151" s="646"/>
      <c r="W151" s="646"/>
      <c r="X151" s="646"/>
      <c r="Y151" s="646"/>
      <c r="Z151" s="646"/>
    </row>
    <row r="152" spans="1:26" ht="15.75" customHeight="1">
      <c r="A152" s="646"/>
      <c r="B152" s="646"/>
      <c r="C152" s="646"/>
      <c r="D152" s="646"/>
      <c r="E152" s="646"/>
      <c r="F152" s="646"/>
      <c r="G152" s="646"/>
      <c r="H152" s="646"/>
      <c r="I152" s="646"/>
      <c r="J152" s="646"/>
      <c r="K152" s="646"/>
      <c r="L152" s="646"/>
      <c r="M152" s="646"/>
      <c r="N152" s="646"/>
      <c r="O152" s="646"/>
      <c r="P152" s="646"/>
      <c r="Q152" s="646"/>
      <c r="R152" s="646"/>
      <c r="S152" s="646"/>
      <c r="T152" s="646"/>
      <c r="U152" s="646"/>
      <c r="V152" s="646"/>
      <c r="W152" s="646"/>
      <c r="X152" s="646"/>
      <c r="Y152" s="646"/>
      <c r="Z152" s="646"/>
    </row>
    <row r="153" spans="1:26" ht="15.75" customHeight="1">
      <c r="A153" s="646"/>
      <c r="B153" s="646"/>
      <c r="C153" s="646"/>
      <c r="D153" s="646"/>
      <c r="E153" s="646"/>
      <c r="F153" s="646"/>
      <c r="G153" s="646"/>
      <c r="H153" s="646"/>
      <c r="I153" s="646"/>
      <c r="J153" s="646"/>
      <c r="K153" s="646"/>
      <c r="L153" s="646"/>
      <c r="M153" s="646"/>
      <c r="N153" s="646"/>
      <c r="O153" s="646"/>
      <c r="P153" s="646"/>
      <c r="Q153" s="646"/>
      <c r="R153" s="646"/>
      <c r="S153" s="646"/>
      <c r="T153" s="646"/>
      <c r="U153" s="646"/>
      <c r="V153" s="646"/>
      <c r="W153" s="646"/>
      <c r="X153" s="646"/>
      <c r="Y153" s="646"/>
      <c r="Z153" s="646"/>
    </row>
    <row r="154" spans="1:26" ht="15.75" customHeight="1">
      <c r="A154" s="646"/>
      <c r="B154" s="646"/>
      <c r="C154" s="646"/>
      <c r="D154" s="646"/>
      <c r="E154" s="646"/>
      <c r="F154" s="646"/>
      <c r="G154" s="646"/>
      <c r="H154" s="646"/>
      <c r="I154" s="646"/>
      <c r="J154" s="646"/>
      <c r="K154" s="646"/>
      <c r="L154" s="646"/>
      <c r="M154" s="646"/>
      <c r="N154" s="646"/>
      <c r="O154" s="646"/>
      <c r="P154" s="646"/>
      <c r="Q154" s="646"/>
      <c r="R154" s="646"/>
      <c r="S154" s="646"/>
      <c r="T154" s="646"/>
      <c r="U154" s="646"/>
      <c r="V154" s="646"/>
      <c r="W154" s="646"/>
      <c r="X154" s="646"/>
      <c r="Y154" s="646"/>
      <c r="Z154" s="646"/>
    </row>
    <row r="155" spans="1:26" ht="15.75" customHeight="1">
      <c r="A155" s="646"/>
      <c r="B155" s="646"/>
      <c r="C155" s="646"/>
      <c r="D155" s="646"/>
      <c r="E155" s="646"/>
      <c r="F155" s="646"/>
      <c r="G155" s="646"/>
      <c r="H155" s="646"/>
      <c r="I155" s="646"/>
      <c r="J155" s="646"/>
      <c r="K155" s="646"/>
      <c r="L155" s="646"/>
      <c r="M155" s="646"/>
      <c r="N155" s="646"/>
      <c r="O155" s="646"/>
      <c r="P155" s="646"/>
      <c r="Q155" s="646"/>
      <c r="R155" s="646"/>
      <c r="S155" s="646"/>
      <c r="T155" s="646"/>
      <c r="U155" s="646"/>
      <c r="V155" s="646"/>
      <c r="W155" s="646"/>
      <c r="X155" s="646"/>
      <c r="Y155" s="646"/>
      <c r="Z155" s="646"/>
    </row>
    <row r="156" spans="1:26" ht="15.75" customHeight="1">
      <c r="A156" s="646"/>
      <c r="B156" s="646"/>
      <c r="C156" s="646"/>
      <c r="D156" s="646"/>
      <c r="E156" s="646"/>
      <c r="F156" s="646"/>
      <c r="G156" s="646"/>
      <c r="H156" s="646"/>
      <c r="I156" s="646"/>
      <c r="J156" s="646"/>
      <c r="K156" s="646"/>
      <c r="L156" s="646"/>
      <c r="M156" s="646"/>
      <c r="N156" s="646"/>
      <c r="O156" s="646"/>
      <c r="P156" s="646"/>
      <c r="Q156" s="646"/>
      <c r="R156" s="646"/>
      <c r="S156" s="646"/>
      <c r="T156" s="646"/>
      <c r="U156" s="646"/>
      <c r="V156" s="646"/>
      <c r="W156" s="646"/>
      <c r="X156" s="646"/>
      <c r="Y156" s="646"/>
      <c r="Z156" s="646"/>
    </row>
    <row r="157" spans="1:26" ht="15.75" customHeight="1">
      <c r="A157" s="646"/>
      <c r="B157" s="646"/>
      <c r="C157" s="646"/>
      <c r="D157" s="646"/>
      <c r="E157" s="646"/>
      <c r="F157" s="646"/>
      <c r="G157" s="646"/>
      <c r="H157" s="646"/>
      <c r="I157" s="646"/>
      <c r="J157" s="646"/>
      <c r="K157" s="646"/>
      <c r="L157" s="646"/>
      <c r="M157" s="646"/>
      <c r="N157" s="646"/>
      <c r="O157" s="646"/>
      <c r="P157" s="646"/>
      <c r="Q157" s="646"/>
      <c r="R157" s="646"/>
      <c r="S157" s="646"/>
      <c r="T157" s="646"/>
      <c r="U157" s="646"/>
      <c r="V157" s="646"/>
      <c r="W157" s="646"/>
      <c r="X157" s="646"/>
      <c r="Y157" s="646"/>
      <c r="Z157" s="646"/>
    </row>
    <row r="158" spans="1:26" ht="15.75" customHeight="1">
      <c r="A158" s="646"/>
      <c r="B158" s="646"/>
      <c r="C158" s="646"/>
      <c r="D158" s="646"/>
      <c r="E158" s="646"/>
      <c r="F158" s="646"/>
      <c r="G158" s="646"/>
      <c r="H158" s="646"/>
      <c r="I158" s="646"/>
      <c r="J158" s="646"/>
      <c r="K158" s="646"/>
      <c r="L158" s="646"/>
      <c r="M158" s="646"/>
      <c r="N158" s="646"/>
      <c r="O158" s="646"/>
      <c r="P158" s="646"/>
      <c r="Q158" s="646"/>
      <c r="R158" s="646"/>
      <c r="S158" s="646"/>
      <c r="T158" s="646"/>
      <c r="U158" s="646"/>
      <c r="V158" s="646"/>
      <c r="W158" s="646"/>
      <c r="X158" s="646"/>
      <c r="Y158" s="646"/>
      <c r="Z158" s="646"/>
    </row>
    <row r="159" spans="1:26" ht="15.75" customHeight="1">
      <c r="A159" s="646"/>
      <c r="B159" s="646"/>
      <c r="C159" s="646"/>
      <c r="D159" s="646"/>
      <c r="E159" s="646"/>
      <c r="F159" s="646"/>
      <c r="G159" s="646"/>
      <c r="H159" s="646"/>
      <c r="I159" s="646"/>
      <c r="J159" s="646"/>
      <c r="K159" s="646"/>
      <c r="L159" s="646"/>
      <c r="M159" s="646"/>
      <c r="N159" s="646"/>
      <c r="O159" s="646"/>
      <c r="P159" s="646"/>
      <c r="Q159" s="646"/>
      <c r="R159" s="646"/>
      <c r="S159" s="646"/>
      <c r="T159" s="646"/>
      <c r="U159" s="646"/>
      <c r="V159" s="646"/>
      <c r="W159" s="646"/>
      <c r="X159" s="646"/>
      <c r="Y159" s="646"/>
      <c r="Z159" s="646"/>
    </row>
    <row r="160" spans="1:26" ht="15.75" customHeight="1">
      <c r="A160" s="646"/>
      <c r="B160" s="646"/>
      <c r="C160" s="646"/>
      <c r="D160" s="646"/>
      <c r="E160" s="646"/>
      <c r="F160" s="646"/>
      <c r="G160" s="646"/>
      <c r="H160" s="646"/>
      <c r="I160" s="646"/>
      <c r="J160" s="646"/>
      <c r="K160" s="646"/>
      <c r="L160" s="646"/>
      <c r="M160" s="646"/>
      <c r="N160" s="646"/>
      <c r="O160" s="646"/>
      <c r="P160" s="646"/>
      <c r="Q160" s="646"/>
      <c r="R160" s="646"/>
      <c r="S160" s="646"/>
      <c r="T160" s="646"/>
      <c r="U160" s="646"/>
      <c r="V160" s="646"/>
      <c r="W160" s="646"/>
      <c r="X160" s="646"/>
      <c r="Y160" s="646"/>
      <c r="Z160" s="646"/>
    </row>
    <row r="161" spans="1:26" ht="15.75" customHeight="1">
      <c r="A161" s="646"/>
      <c r="B161" s="646"/>
      <c r="C161" s="646"/>
      <c r="D161" s="646"/>
      <c r="E161" s="646"/>
      <c r="F161" s="646"/>
      <c r="G161" s="646"/>
      <c r="H161" s="646"/>
      <c r="I161" s="646"/>
      <c r="J161" s="646"/>
      <c r="K161" s="646"/>
      <c r="L161" s="646"/>
      <c r="M161" s="646"/>
      <c r="N161" s="646"/>
      <c r="O161" s="646"/>
      <c r="P161" s="646"/>
      <c r="Q161" s="646"/>
      <c r="R161" s="646"/>
      <c r="S161" s="646"/>
      <c r="T161" s="646"/>
      <c r="U161" s="646"/>
      <c r="V161" s="646"/>
      <c r="W161" s="646"/>
      <c r="X161" s="646"/>
      <c r="Y161" s="646"/>
      <c r="Z161" s="646"/>
    </row>
    <row r="162" spans="1:26" ht="15.75" customHeight="1">
      <c r="A162" s="646"/>
      <c r="B162" s="646"/>
      <c r="C162" s="646"/>
      <c r="D162" s="646"/>
      <c r="E162" s="646"/>
      <c r="F162" s="646"/>
      <c r="G162" s="646"/>
      <c r="H162" s="646"/>
      <c r="I162" s="646"/>
      <c r="J162" s="646"/>
      <c r="K162" s="646"/>
      <c r="L162" s="646"/>
      <c r="M162" s="646"/>
      <c r="N162" s="646"/>
      <c r="O162" s="646"/>
      <c r="P162" s="646"/>
      <c r="Q162" s="646"/>
      <c r="R162" s="646"/>
      <c r="S162" s="646"/>
      <c r="T162" s="646"/>
      <c r="U162" s="646"/>
      <c r="V162" s="646"/>
      <c r="W162" s="646"/>
      <c r="X162" s="646"/>
      <c r="Y162" s="646"/>
      <c r="Z162" s="646"/>
    </row>
    <row r="163" spans="1:26" ht="15.75" customHeight="1">
      <c r="A163" s="646"/>
      <c r="B163" s="646"/>
      <c r="C163" s="646"/>
      <c r="D163" s="646"/>
      <c r="E163" s="646"/>
      <c r="F163" s="646"/>
      <c r="G163" s="646"/>
      <c r="H163" s="646"/>
      <c r="I163" s="646"/>
      <c r="J163" s="646"/>
      <c r="K163" s="646"/>
      <c r="L163" s="646"/>
      <c r="M163" s="646"/>
      <c r="N163" s="646"/>
      <c r="O163" s="646"/>
      <c r="P163" s="646"/>
      <c r="Q163" s="646"/>
      <c r="R163" s="646"/>
      <c r="S163" s="646"/>
      <c r="T163" s="646"/>
      <c r="U163" s="646"/>
      <c r="V163" s="646"/>
      <c r="W163" s="646"/>
      <c r="X163" s="646"/>
      <c r="Y163" s="646"/>
      <c r="Z163" s="646"/>
    </row>
    <row r="164" spans="1:26" ht="15.75" customHeight="1">
      <c r="A164" s="646"/>
      <c r="B164" s="646"/>
      <c r="C164" s="646"/>
      <c r="D164" s="646"/>
      <c r="E164" s="646"/>
      <c r="F164" s="646"/>
      <c r="G164" s="646"/>
      <c r="H164" s="646"/>
      <c r="I164" s="646"/>
      <c r="J164" s="646"/>
      <c r="K164" s="646"/>
      <c r="L164" s="646"/>
      <c r="M164" s="646"/>
      <c r="N164" s="646"/>
      <c r="O164" s="646"/>
      <c r="P164" s="646"/>
      <c r="Q164" s="646"/>
      <c r="R164" s="646"/>
      <c r="S164" s="646"/>
      <c r="T164" s="646"/>
      <c r="U164" s="646"/>
      <c r="V164" s="646"/>
      <c r="W164" s="646"/>
      <c r="X164" s="646"/>
      <c r="Y164" s="646"/>
      <c r="Z164" s="646"/>
    </row>
    <row r="165" spans="1:26" ht="15.75" customHeight="1">
      <c r="A165" s="646"/>
      <c r="B165" s="646"/>
      <c r="C165" s="646"/>
      <c r="D165" s="646"/>
      <c r="E165" s="646"/>
      <c r="F165" s="646"/>
      <c r="G165" s="646"/>
      <c r="H165" s="646"/>
      <c r="I165" s="646"/>
      <c r="J165" s="646"/>
      <c r="K165" s="646"/>
      <c r="L165" s="646"/>
      <c r="M165" s="646"/>
      <c r="N165" s="646"/>
      <c r="O165" s="646"/>
      <c r="P165" s="646"/>
      <c r="Q165" s="646"/>
      <c r="R165" s="646"/>
      <c r="S165" s="646"/>
      <c r="T165" s="646"/>
      <c r="U165" s="646"/>
      <c r="V165" s="646"/>
      <c r="W165" s="646"/>
      <c r="X165" s="646"/>
      <c r="Y165" s="646"/>
      <c r="Z165" s="646"/>
    </row>
    <row r="166" spans="1:26" ht="15.75" customHeight="1">
      <c r="A166" s="646"/>
      <c r="B166" s="646"/>
      <c r="C166" s="646"/>
      <c r="D166" s="646"/>
      <c r="E166" s="646"/>
      <c r="F166" s="646"/>
      <c r="G166" s="646"/>
      <c r="H166" s="646"/>
      <c r="I166" s="646"/>
      <c r="J166" s="646"/>
      <c r="K166" s="646"/>
      <c r="L166" s="646"/>
      <c r="M166" s="646"/>
      <c r="N166" s="646"/>
      <c r="O166" s="646"/>
      <c r="P166" s="646"/>
      <c r="Q166" s="646"/>
      <c r="R166" s="646"/>
      <c r="S166" s="646"/>
      <c r="T166" s="646"/>
      <c r="U166" s="646"/>
      <c r="V166" s="646"/>
      <c r="W166" s="646"/>
      <c r="X166" s="646"/>
      <c r="Y166" s="646"/>
      <c r="Z166" s="646"/>
    </row>
    <row r="167" spans="1:26" ht="15.75" customHeight="1">
      <c r="A167" s="646"/>
      <c r="B167" s="646"/>
      <c r="C167" s="646"/>
      <c r="D167" s="646"/>
      <c r="E167" s="646"/>
      <c r="F167" s="646"/>
      <c r="G167" s="646"/>
      <c r="H167" s="646"/>
      <c r="I167" s="646"/>
      <c r="J167" s="646"/>
      <c r="K167" s="646"/>
      <c r="L167" s="646"/>
      <c r="M167" s="646"/>
      <c r="N167" s="646"/>
      <c r="O167" s="646"/>
      <c r="P167" s="646"/>
      <c r="Q167" s="646"/>
      <c r="R167" s="646"/>
      <c r="S167" s="646"/>
      <c r="T167" s="646"/>
      <c r="U167" s="646"/>
      <c r="V167" s="646"/>
      <c r="W167" s="646"/>
      <c r="X167" s="646"/>
      <c r="Y167" s="646"/>
      <c r="Z167" s="646"/>
    </row>
    <row r="168" spans="1:26" ht="15.75" customHeight="1">
      <c r="A168" s="646"/>
      <c r="B168" s="646"/>
      <c r="C168" s="646"/>
      <c r="D168" s="646"/>
      <c r="E168" s="646"/>
      <c r="F168" s="646"/>
      <c r="G168" s="646"/>
      <c r="H168" s="646"/>
      <c r="I168" s="646"/>
      <c r="J168" s="646"/>
      <c r="K168" s="646"/>
      <c r="L168" s="646"/>
      <c r="M168" s="646"/>
      <c r="N168" s="646"/>
      <c r="O168" s="646"/>
      <c r="P168" s="646"/>
      <c r="Q168" s="646"/>
      <c r="R168" s="646"/>
      <c r="S168" s="646"/>
      <c r="T168" s="646"/>
      <c r="U168" s="646"/>
      <c r="V168" s="646"/>
      <c r="W168" s="646"/>
      <c r="X168" s="646"/>
      <c r="Y168" s="646"/>
      <c r="Z168" s="646"/>
    </row>
    <row r="169" spans="1:26" ht="15.75" customHeight="1">
      <c r="A169" s="646"/>
      <c r="B169" s="646"/>
      <c r="C169" s="646"/>
      <c r="D169" s="646"/>
      <c r="E169" s="646"/>
      <c r="F169" s="646"/>
      <c r="G169" s="646"/>
      <c r="H169" s="646"/>
      <c r="I169" s="646"/>
      <c r="J169" s="646"/>
      <c r="K169" s="646"/>
      <c r="L169" s="646"/>
      <c r="M169" s="646"/>
      <c r="N169" s="646"/>
      <c r="O169" s="646"/>
      <c r="P169" s="646"/>
      <c r="Q169" s="646"/>
      <c r="R169" s="646"/>
      <c r="S169" s="646"/>
      <c r="T169" s="646"/>
      <c r="U169" s="646"/>
      <c r="V169" s="646"/>
      <c r="W169" s="646"/>
      <c r="X169" s="646"/>
      <c r="Y169" s="646"/>
      <c r="Z169" s="646"/>
    </row>
    <row r="170" spans="1:26" ht="15.75" customHeight="1">
      <c r="A170" s="646"/>
      <c r="B170" s="646"/>
      <c r="C170" s="646"/>
      <c r="D170" s="646"/>
      <c r="E170" s="646"/>
      <c r="F170" s="646"/>
      <c r="G170" s="646"/>
      <c r="H170" s="646"/>
      <c r="I170" s="646"/>
      <c r="J170" s="646"/>
      <c r="K170" s="646"/>
      <c r="L170" s="646"/>
      <c r="M170" s="646"/>
      <c r="N170" s="646"/>
      <c r="O170" s="646"/>
      <c r="P170" s="646"/>
      <c r="Q170" s="646"/>
      <c r="R170" s="646"/>
      <c r="S170" s="646"/>
      <c r="T170" s="646"/>
      <c r="U170" s="646"/>
      <c r="V170" s="646"/>
      <c r="W170" s="646"/>
      <c r="X170" s="646"/>
      <c r="Y170" s="646"/>
      <c r="Z170" s="646"/>
    </row>
    <row r="171" spans="1:26" ht="15.75" customHeight="1">
      <c r="A171" s="646"/>
      <c r="B171" s="646"/>
      <c r="C171" s="646"/>
      <c r="D171" s="646"/>
      <c r="E171" s="646"/>
      <c r="F171" s="646"/>
      <c r="G171" s="646"/>
      <c r="H171" s="646"/>
      <c r="I171" s="646"/>
      <c r="J171" s="646"/>
      <c r="K171" s="646"/>
      <c r="L171" s="646"/>
      <c r="M171" s="646"/>
      <c r="N171" s="646"/>
      <c r="O171" s="646"/>
      <c r="P171" s="646"/>
      <c r="Q171" s="646"/>
      <c r="R171" s="646"/>
      <c r="S171" s="646"/>
      <c r="T171" s="646"/>
      <c r="U171" s="646"/>
      <c r="V171" s="646"/>
      <c r="W171" s="646"/>
      <c r="X171" s="646"/>
      <c r="Y171" s="646"/>
      <c r="Z171" s="646"/>
    </row>
    <row r="172" spans="1:26" ht="15.75" customHeight="1">
      <c r="A172" s="646"/>
      <c r="B172" s="646"/>
      <c r="C172" s="646"/>
      <c r="D172" s="646"/>
      <c r="E172" s="646"/>
      <c r="F172" s="646"/>
      <c r="G172" s="646"/>
      <c r="H172" s="646"/>
      <c r="I172" s="646"/>
      <c r="J172" s="646"/>
      <c r="K172" s="646"/>
      <c r="L172" s="646"/>
      <c r="M172" s="646"/>
      <c r="N172" s="646"/>
      <c r="O172" s="646"/>
      <c r="P172" s="646"/>
      <c r="Q172" s="646"/>
      <c r="R172" s="646"/>
      <c r="S172" s="646"/>
      <c r="T172" s="646"/>
      <c r="U172" s="646"/>
      <c r="V172" s="646"/>
      <c r="W172" s="646"/>
      <c r="X172" s="646"/>
      <c r="Y172" s="646"/>
      <c r="Z172" s="646"/>
    </row>
    <row r="173" spans="1:26" ht="15.75" customHeight="1">
      <c r="A173" s="646"/>
      <c r="B173" s="646"/>
      <c r="C173" s="646"/>
      <c r="D173" s="646"/>
      <c r="E173" s="646"/>
      <c r="F173" s="646"/>
      <c r="G173" s="646"/>
      <c r="H173" s="646"/>
      <c r="I173" s="646"/>
      <c r="J173" s="646"/>
      <c r="K173" s="646"/>
      <c r="L173" s="646"/>
      <c r="M173" s="646"/>
      <c r="N173" s="646"/>
      <c r="O173" s="646"/>
      <c r="P173" s="646"/>
      <c r="Q173" s="646"/>
      <c r="R173" s="646"/>
      <c r="S173" s="646"/>
      <c r="T173" s="646"/>
      <c r="U173" s="646"/>
      <c r="V173" s="646"/>
      <c r="W173" s="646"/>
      <c r="X173" s="646"/>
      <c r="Y173" s="646"/>
      <c r="Z173" s="646"/>
    </row>
    <row r="174" spans="1:26" ht="15.75" customHeight="1">
      <c r="A174" s="646"/>
      <c r="B174" s="646"/>
      <c r="C174" s="646"/>
      <c r="D174" s="646"/>
      <c r="E174" s="646"/>
      <c r="F174" s="646"/>
      <c r="G174" s="646"/>
      <c r="H174" s="646"/>
      <c r="I174" s="646"/>
      <c r="J174" s="646"/>
      <c r="K174" s="646"/>
      <c r="L174" s="646"/>
      <c r="M174" s="646"/>
      <c r="N174" s="646"/>
      <c r="O174" s="646"/>
      <c r="P174" s="646"/>
      <c r="Q174" s="646"/>
      <c r="R174" s="646"/>
      <c r="S174" s="646"/>
      <c r="T174" s="646"/>
      <c r="U174" s="646"/>
      <c r="V174" s="646"/>
      <c r="W174" s="646"/>
      <c r="X174" s="646"/>
      <c r="Y174" s="646"/>
      <c r="Z174" s="646"/>
    </row>
    <row r="175" spans="1:26" ht="15.75" customHeight="1">
      <c r="A175" s="646"/>
      <c r="B175" s="646"/>
      <c r="C175" s="646"/>
      <c r="D175" s="646"/>
      <c r="E175" s="646"/>
      <c r="F175" s="646"/>
      <c r="G175" s="646"/>
      <c r="H175" s="646"/>
      <c r="I175" s="646"/>
      <c r="J175" s="646"/>
      <c r="K175" s="646"/>
      <c r="L175" s="646"/>
      <c r="M175" s="646"/>
      <c r="N175" s="646"/>
      <c r="O175" s="646"/>
      <c r="P175" s="646"/>
      <c r="Q175" s="646"/>
      <c r="R175" s="646"/>
      <c r="S175" s="646"/>
      <c r="T175" s="646"/>
      <c r="U175" s="646"/>
      <c r="V175" s="646"/>
      <c r="W175" s="646"/>
      <c r="X175" s="646"/>
      <c r="Y175" s="646"/>
      <c r="Z175" s="646"/>
    </row>
    <row r="176" spans="1:26" ht="15.75" customHeight="1">
      <c r="A176" s="646"/>
      <c r="B176" s="646"/>
      <c r="C176" s="646"/>
      <c r="D176" s="646"/>
      <c r="E176" s="646"/>
      <c r="F176" s="646"/>
      <c r="G176" s="646"/>
      <c r="H176" s="646"/>
      <c r="I176" s="646"/>
      <c r="J176" s="646"/>
      <c r="K176" s="646"/>
      <c r="L176" s="646"/>
      <c r="M176" s="646"/>
      <c r="N176" s="646"/>
      <c r="O176" s="646"/>
      <c r="P176" s="646"/>
      <c r="Q176" s="646"/>
      <c r="R176" s="646"/>
      <c r="S176" s="646"/>
      <c r="T176" s="646"/>
      <c r="U176" s="646"/>
      <c r="V176" s="646"/>
      <c r="W176" s="646"/>
      <c r="X176" s="646"/>
      <c r="Y176" s="646"/>
      <c r="Z176" s="646"/>
    </row>
    <row r="177" spans="1:26" ht="15.75" customHeight="1">
      <c r="A177" s="646"/>
      <c r="B177" s="646"/>
      <c r="C177" s="646"/>
      <c r="D177" s="646"/>
      <c r="E177" s="646"/>
      <c r="F177" s="646"/>
      <c r="G177" s="646"/>
      <c r="H177" s="646"/>
      <c r="I177" s="646"/>
      <c r="J177" s="646"/>
      <c r="K177" s="646"/>
      <c r="L177" s="646"/>
      <c r="M177" s="646"/>
      <c r="N177" s="646"/>
      <c r="O177" s="646"/>
      <c r="P177" s="646"/>
      <c r="Q177" s="646"/>
      <c r="R177" s="646"/>
      <c r="S177" s="646"/>
      <c r="T177" s="646"/>
      <c r="U177" s="646"/>
      <c r="V177" s="646"/>
      <c r="W177" s="646"/>
      <c r="X177" s="646"/>
      <c r="Y177" s="646"/>
      <c r="Z177" s="646"/>
    </row>
    <row r="178" spans="1:26" ht="15.75" customHeight="1">
      <c r="A178" s="646"/>
      <c r="B178" s="646"/>
      <c r="C178" s="646"/>
      <c r="D178" s="646"/>
      <c r="E178" s="646"/>
      <c r="F178" s="646"/>
      <c r="G178" s="646"/>
      <c r="H178" s="646"/>
      <c r="I178" s="646"/>
      <c r="J178" s="646"/>
      <c r="K178" s="646"/>
      <c r="L178" s="646"/>
      <c r="M178" s="646"/>
      <c r="N178" s="646"/>
      <c r="O178" s="646"/>
      <c r="P178" s="646"/>
      <c r="Q178" s="646"/>
      <c r="R178" s="646"/>
      <c r="S178" s="646"/>
      <c r="T178" s="646"/>
      <c r="U178" s="646"/>
      <c r="V178" s="646"/>
      <c r="W178" s="646"/>
      <c r="X178" s="646"/>
      <c r="Y178" s="646"/>
      <c r="Z178" s="646"/>
    </row>
    <row r="179" spans="1:26" ht="15.75" customHeight="1">
      <c r="A179" s="646"/>
      <c r="B179" s="646"/>
      <c r="C179" s="646"/>
      <c r="D179" s="646"/>
      <c r="E179" s="646"/>
      <c r="F179" s="646"/>
      <c r="G179" s="646"/>
      <c r="H179" s="646"/>
      <c r="I179" s="646"/>
      <c r="J179" s="646"/>
      <c r="K179" s="646"/>
      <c r="L179" s="646"/>
      <c r="M179" s="646"/>
      <c r="N179" s="646"/>
      <c r="O179" s="646"/>
      <c r="P179" s="646"/>
      <c r="Q179" s="646"/>
      <c r="R179" s="646"/>
      <c r="S179" s="646"/>
      <c r="T179" s="646"/>
      <c r="U179" s="646"/>
      <c r="V179" s="646"/>
      <c r="W179" s="646"/>
      <c r="X179" s="646"/>
      <c r="Y179" s="646"/>
      <c r="Z179" s="646"/>
    </row>
    <row r="180" spans="1:26" ht="15.75" customHeight="1">
      <c r="A180" s="646"/>
      <c r="B180" s="646"/>
      <c r="C180" s="646"/>
      <c r="D180" s="646"/>
      <c r="E180" s="646"/>
      <c r="F180" s="646"/>
      <c r="G180" s="646"/>
      <c r="H180" s="646"/>
      <c r="I180" s="646"/>
      <c r="J180" s="646"/>
      <c r="K180" s="646"/>
      <c r="L180" s="646"/>
      <c r="M180" s="646"/>
      <c r="N180" s="646"/>
      <c r="O180" s="646"/>
      <c r="P180" s="646"/>
      <c r="Q180" s="646"/>
      <c r="R180" s="646"/>
      <c r="S180" s="646"/>
      <c r="T180" s="646"/>
      <c r="U180" s="646"/>
      <c r="V180" s="646"/>
      <c r="W180" s="646"/>
      <c r="X180" s="646"/>
      <c r="Y180" s="646"/>
      <c r="Z180" s="646"/>
    </row>
    <row r="181" spans="1:26" ht="15.75" customHeight="1">
      <c r="A181" s="646"/>
      <c r="B181" s="646"/>
      <c r="C181" s="646"/>
      <c r="D181" s="646"/>
      <c r="E181" s="646"/>
      <c r="F181" s="646"/>
      <c r="G181" s="646"/>
      <c r="H181" s="646"/>
      <c r="I181" s="646"/>
      <c r="J181" s="646"/>
      <c r="K181" s="646"/>
      <c r="L181" s="646"/>
      <c r="M181" s="646"/>
      <c r="N181" s="646"/>
      <c r="O181" s="646"/>
      <c r="P181" s="646"/>
      <c r="Q181" s="646"/>
      <c r="R181" s="646"/>
      <c r="S181" s="646"/>
      <c r="T181" s="646"/>
      <c r="U181" s="646"/>
      <c r="V181" s="646"/>
      <c r="W181" s="646"/>
      <c r="X181" s="646"/>
      <c r="Y181" s="646"/>
      <c r="Z181" s="646"/>
    </row>
    <row r="182" spans="1:26" ht="15.75" customHeight="1">
      <c r="A182" s="646"/>
      <c r="B182" s="646"/>
      <c r="C182" s="646"/>
      <c r="D182" s="646"/>
      <c r="E182" s="646"/>
      <c r="F182" s="646"/>
      <c r="G182" s="646"/>
      <c r="H182" s="646"/>
      <c r="I182" s="646"/>
      <c r="J182" s="646"/>
      <c r="K182" s="646"/>
      <c r="L182" s="646"/>
      <c r="M182" s="646"/>
      <c r="N182" s="646"/>
      <c r="O182" s="646"/>
      <c r="P182" s="646"/>
      <c r="Q182" s="646"/>
      <c r="R182" s="646"/>
      <c r="S182" s="646"/>
      <c r="T182" s="646"/>
      <c r="U182" s="646"/>
      <c r="V182" s="646"/>
      <c r="W182" s="646"/>
      <c r="X182" s="646"/>
      <c r="Y182" s="646"/>
      <c r="Z182" s="646"/>
    </row>
    <row r="183" spans="1:26" ht="15.75" customHeight="1">
      <c r="A183" s="646"/>
      <c r="B183" s="646"/>
      <c r="C183" s="646"/>
      <c r="D183" s="646"/>
      <c r="E183" s="646"/>
      <c r="F183" s="646"/>
      <c r="G183" s="646"/>
      <c r="H183" s="646"/>
      <c r="I183" s="646"/>
      <c r="J183" s="646"/>
      <c r="K183" s="646"/>
      <c r="L183" s="646"/>
      <c r="M183" s="646"/>
      <c r="N183" s="646"/>
      <c r="O183" s="646"/>
      <c r="P183" s="646"/>
      <c r="Q183" s="646"/>
      <c r="R183" s="646"/>
      <c r="S183" s="646"/>
      <c r="T183" s="646"/>
      <c r="U183" s="646"/>
      <c r="V183" s="646"/>
      <c r="W183" s="646"/>
      <c r="X183" s="646"/>
      <c r="Y183" s="646"/>
      <c r="Z183" s="646"/>
    </row>
    <row r="184" spans="1:26" ht="15.75" customHeight="1">
      <c r="A184" s="646"/>
      <c r="B184" s="646"/>
      <c r="C184" s="646"/>
      <c r="D184" s="646"/>
      <c r="E184" s="646"/>
      <c r="F184" s="646"/>
      <c r="G184" s="646"/>
      <c r="H184" s="646"/>
      <c r="I184" s="646"/>
      <c r="J184" s="646"/>
      <c r="K184" s="646"/>
      <c r="L184" s="646"/>
      <c r="M184" s="646"/>
      <c r="N184" s="646"/>
      <c r="O184" s="646"/>
      <c r="P184" s="646"/>
      <c r="Q184" s="646"/>
      <c r="R184" s="646"/>
      <c r="S184" s="646"/>
      <c r="T184" s="646"/>
      <c r="U184" s="646"/>
      <c r="V184" s="646"/>
      <c r="W184" s="646"/>
      <c r="X184" s="646"/>
      <c r="Y184" s="646"/>
      <c r="Z184" s="646"/>
    </row>
    <row r="185" spans="1:26" ht="15.75" customHeight="1">
      <c r="A185" s="646"/>
      <c r="B185" s="646"/>
      <c r="C185" s="646"/>
      <c r="D185" s="646"/>
      <c r="E185" s="646"/>
      <c r="F185" s="646"/>
      <c r="G185" s="646"/>
      <c r="H185" s="646"/>
      <c r="I185" s="646"/>
      <c r="J185" s="646"/>
      <c r="K185" s="646"/>
      <c r="L185" s="646"/>
      <c r="M185" s="646"/>
      <c r="N185" s="646"/>
      <c r="O185" s="646"/>
      <c r="P185" s="646"/>
      <c r="Q185" s="646"/>
      <c r="R185" s="646"/>
      <c r="S185" s="646"/>
      <c r="T185" s="646"/>
      <c r="U185" s="646"/>
      <c r="V185" s="646"/>
      <c r="W185" s="646"/>
      <c r="X185" s="646"/>
      <c r="Y185" s="646"/>
      <c r="Z185" s="646"/>
    </row>
    <row r="186" spans="1:26" ht="15.75" customHeight="1">
      <c r="A186" s="646"/>
      <c r="B186" s="646"/>
      <c r="C186" s="646"/>
      <c r="D186" s="646"/>
      <c r="E186" s="646"/>
      <c r="F186" s="646"/>
      <c r="G186" s="646"/>
      <c r="H186" s="646"/>
      <c r="I186" s="646"/>
      <c r="J186" s="646"/>
      <c r="K186" s="646"/>
      <c r="L186" s="646"/>
      <c r="M186" s="646"/>
      <c r="N186" s="646"/>
      <c r="O186" s="646"/>
      <c r="P186" s="646"/>
      <c r="Q186" s="646"/>
      <c r="R186" s="646"/>
      <c r="S186" s="646"/>
      <c r="T186" s="646"/>
      <c r="U186" s="646"/>
      <c r="V186" s="646"/>
      <c r="W186" s="646"/>
      <c r="X186" s="646"/>
      <c r="Y186" s="646"/>
      <c r="Z186" s="646"/>
    </row>
    <row r="187" spans="1:26" ht="15.75" customHeight="1">
      <c r="A187" s="646"/>
      <c r="B187" s="646"/>
      <c r="C187" s="646"/>
      <c r="D187" s="646"/>
      <c r="E187" s="646"/>
      <c r="F187" s="646"/>
      <c r="G187" s="646"/>
      <c r="H187" s="646"/>
      <c r="I187" s="646"/>
      <c r="J187" s="646"/>
      <c r="K187" s="646"/>
      <c r="L187" s="646"/>
      <c r="M187" s="646"/>
      <c r="N187" s="646"/>
      <c r="O187" s="646"/>
      <c r="P187" s="646"/>
      <c r="Q187" s="646"/>
      <c r="R187" s="646"/>
      <c r="S187" s="646"/>
      <c r="T187" s="646"/>
      <c r="U187" s="646"/>
      <c r="V187" s="646"/>
      <c r="W187" s="646"/>
      <c r="X187" s="646"/>
      <c r="Y187" s="646"/>
      <c r="Z187" s="646"/>
    </row>
    <row r="188" spans="1:26" ht="15.75" customHeight="1">
      <c r="A188" s="646"/>
      <c r="B188" s="646"/>
      <c r="C188" s="646"/>
      <c r="D188" s="646"/>
      <c r="E188" s="646"/>
      <c r="F188" s="646"/>
      <c r="G188" s="646"/>
      <c r="H188" s="646"/>
      <c r="I188" s="646"/>
      <c r="J188" s="646"/>
      <c r="K188" s="646"/>
      <c r="L188" s="646"/>
      <c r="M188" s="646"/>
      <c r="N188" s="646"/>
      <c r="O188" s="646"/>
      <c r="P188" s="646"/>
      <c r="Q188" s="646"/>
      <c r="R188" s="646"/>
      <c r="S188" s="646"/>
      <c r="T188" s="646"/>
      <c r="U188" s="646"/>
      <c r="V188" s="646"/>
      <c r="W188" s="646"/>
      <c r="X188" s="646"/>
      <c r="Y188" s="646"/>
      <c r="Z188" s="646"/>
    </row>
    <row r="189" spans="1:26" ht="15.75" customHeight="1">
      <c r="A189" s="646"/>
      <c r="B189" s="646"/>
      <c r="C189" s="646"/>
      <c r="D189" s="646"/>
      <c r="E189" s="646"/>
      <c r="F189" s="646"/>
      <c r="G189" s="646"/>
      <c r="H189" s="646"/>
      <c r="I189" s="646"/>
      <c r="J189" s="646"/>
      <c r="K189" s="646"/>
      <c r="L189" s="646"/>
      <c r="M189" s="646"/>
      <c r="N189" s="646"/>
      <c r="O189" s="646"/>
      <c r="P189" s="646"/>
      <c r="Q189" s="646"/>
      <c r="R189" s="646"/>
      <c r="S189" s="646"/>
      <c r="T189" s="646"/>
      <c r="U189" s="646"/>
      <c r="V189" s="646"/>
      <c r="W189" s="646"/>
      <c r="X189" s="646"/>
      <c r="Y189" s="646"/>
      <c r="Z189" s="646"/>
    </row>
    <row r="190" spans="1:26" ht="15.75" customHeight="1">
      <c r="A190" s="646"/>
      <c r="B190" s="646"/>
      <c r="C190" s="646"/>
      <c r="D190" s="646"/>
      <c r="E190" s="646"/>
      <c r="F190" s="646"/>
      <c r="G190" s="646"/>
      <c r="H190" s="646"/>
      <c r="I190" s="646"/>
      <c r="J190" s="646"/>
      <c r="K190" s="646"/>
      <c r="L190" s="646"/>
      <c r="M190" s="646"/>
      <c r="N190" s="646"/>
      <c r="O190" s="646"/>
      <c r="P190" s="646"/>
      <c r="Q190" s="646"/>
      <c r="R190" s="646"/>
      <c r="S190" s="646"/>
      <c r="T190" s="646"/>
      <c r="U190" s="646"/>
      <c r="V190" s="646"/>
      <c r="W190" s="646"/>
      <c r="X190" s="646"/>
      <c r="Y190" s="646"/>
      <c r="Z190" s="646"/>
    </row>
    <row r="191" spans="1:26" ht="15.75" customHeight="1">
      <c r="A191" s="646"/>
      <c r="B191" s="646"/>
      <c r="C191" s="646"/>
      <c r="D191" s="646"/>
      <c r="E191" s="646"/>
      <c r="F191" s="646"/>
      <c r="G191" s="646"/>
      <c r="H191" s="646"/>
      <c r="I191" s="646"/>
      <c r="J191" s="646"/>
      <c r="K191" s="646"/>
      <c r="L191" s="646"/>
      <c r="M191" s="646"/>
      <c r="N191" s="646"/>
      <c r="O191" s="646"/>
      <c r="P191" s="646"/>
      <c r="Q191" s="646"/>
      <c r="R191" s="646"/>
      <c r="S191" s="646"/>
      <c r="T191" s="646"/>
      <c r="U191" s="646"/>
      <c r="V191" s="646"/>
      <c r="W191" s="646"/>
      <c r="X191" s="646"/>
      <c r="Y191" s="646"/>
      <c r="Z191" s="646"/>
    </row>
    <row r="192" spans="1:26" ht="15.75" customHeight="1">
      <c r="A192" s="646"/>
      <c r="B192" s="646"/>
      <c r="C192" s="646"/>
      <c r="D192" s="646"/>
      <c r="E192" s="646"/>
      <c r="F192" s="646"/>
      <c r="G192" s="646"/>
      <c r="H192" s="646"/>
      <c r="I192" s="646"/>
      <c r="J192" s="646"/>
      <c r="K192" s="646"/>
      <c r="L192" s="646"/>
      <c r="M192" s="646"/>
      <c r="N192" s="646"/>
      <c r="O192" s="646"/>
      <c r="P192" s="646"/>
      <c r="Q192" s="646"/>
      <c r="R192" s="646"/>
      <c r="S192" s="646"/>
      <c r="T192" s="646"/>
      <c r="U192" s="646"/>
      <c r="V192" s="646"/>
      <c r="W192" s="646"/>
      <c r="X192" s="646"/>
      <c r="Y192" s="646"/>
      <c r="Z192" s="646"/>
    </row>
    <row r="193" spans="1:26" ht="15.75" customHeight="1">
      <c r="A193" s="646"/>
      <c r="B193" s="646"/>
      <c r="C193" s="646"/>
      <c r="D193" s="646"/>
      <c r="E193" s="646"/>
      <c r="F193" s="646"/>
      <c r="G193" s="646"/>
      <c r="H193" s="646"/>
      <c r="I193" s="646"/>
      <c r="J193" s="646"/>
      <c r="K193" s="646"/>
      <c r="L193" s="646"/>
      <c r="M193" s="646"/>
      <c r="N193" s="646"/>
      <c r="O193" s="646"/>
      <c r="P193" s="646"/>
      <c r="Q193" s="646"/>
      <c r="R193" s="646"/>
      <c r="S193" s="646"/>
      <c r="T193" s="646"/>
      <c r="U193" s="646"/>
      <c r="V193" s="646"/>
      <c r="W193" s="646"/>
      <c r="X193" s="646"/>
      <c r="Y193" s="646"/>
      <c r="Z193" s="646"/>
    </row>
    <row r="194" spans="1:26" ht="15.75" customHeight="1">
      <c r="A194" s="646"/>
      <c r="B194" s="646"/>
      <c r="C194" s="646"/>
      <c r="D194" s="646"/>
      <c r="E194" s="646"/>
      <c r="F194" s="646"/>
      <c r="G194" s="646"/>
      <c r="H194" s="646"/>
      <c r="I194" s="646"/>
      <c r="J194" s="646"/>
      <c r="K194" s="646"/>
      <c r="L194" s="646"/>
      <c r="M194" s="646"/>
      <c r="N194" s="646"/>
      <c r="O194" s="646"/>
      <c r="P194" s="646"/>
      <c r="Q194" s="646"/>
      <c r="R194" s="646"/>
      <c r="S194" s="646"/>
      <c r="T194" s="646"/>
      <c r="U194" s="646"/>
      <c r="V194" s="646"/>
      <c r="W194" s="646"/>
      <c r="X194" s="646"/>
      <c r="Y194" s="646"/>
      <c r="Z194" s="646"/>
    </row>
    <row r="195" spans="1:26" ht="15.75" customHeight="1">
      <c r="A195" s="646"/>
      <c r="B195" s="646"/>
      <c r="C195" s="646"/>
      <c r="D195" s="646"/>
      <c r="E195" s="646"/>
      <c r="F195" s="646"/>
      <c r="G195" s="646"/>
      <c r="H195" s="646"/>
      <c r="I195" s="646"/>
      <c r="J195" s="646"/>
      <c r="K195" s="646"/>
      <c r="L195" s="646"/>
      <c r="M195" s="646"/>
      <c r="N195" s="646"/>
      <c r="O195" s="646"/>
      <c r="P195" s="646"/>
      <c r="Q195" s="646"/>
      <c r="R195" s="646"/>
      <c r="S195" s="646"/>
      <c r="T195" s="646"/>
      <c r="U195" s="646"/>
      <c r="V195" s="646"/>
      <c r="W195" s="646"/>
      <c r="X195" s="646"/>
      <c r="Y195" s="646"/>
      <c r="Z195" s="646"/>
    </row>
    <row r="196" spans="1:26" ht="15.75" customHeight="1">
      <c r="A196" s="646"/>
      <c r="B196" s="646"/>
      <c r="C196" s="646"/>
      <c r="D196" s="646"/>
      <c r="E196" s="646"/>
      <c r="F196" s="646"/>
      <c r="G196" s="646"/>
      <c r="H196" s="646"/>
      <c r="I196" s="646"/>
      <c r="J196" s="646"/>
      <c r="K196" s="646"/>
      <c r="L196" s="646"/>
      <c r="M196" s="646"/>
      <c r="N196" s="646"/>
      <c r="O196" s="646"/>
      <c r="P196" s="646"/>
      <c r="Q196" s="646"/>
      <c r="R196" s="646"/>
      <c r="S196" s="646"/>
      <c r="T196" s="646"/>
      <c r="U196" s="646"/>
      <c r="V196" s="646"/>
      <c r="W196" s="646"/>
      <c r="X196" s="646"/>
      <c r="Y196" s="646"/>
      <c r="Z196" s="646"/>
    </row>
    <row r="197" spans="1:26" ht="15.75" customHeight="1">
      <c r="A197" s="646"/>
      <c r="B197" s="646"/>
      <c r="C197" s="646"/>
      <c r="D197" s="646"/>
      <c r="E197" s="646"/>
      <c r="F197" s="646"/>
      <c r="G197" s="646"/>
      <c r="H197" s="646"/>
      <c r="I197" s="646"/>
      <c r="J197" s="646"/>
      <c r="K197" s="646"/>
      <c r="L197" s="646"/>
      <c r="M197" s="646"/>
      <c r="N197" s="646"/>
      <c r="O197" s="646"/>
      <c r="P197" s="646"/>
      <c r="Q197" s="646"/>
      <c r="R197" s="646"/>
      <c r="S197" s="646"/>
      <c r="T197" s="646"/>
      <c r="U197" s="646"/>
      <c r="V197" s="646"/>
      <c r="W197" s="646"/>
      <c r="X197" s="646"/>
      <c r="Y197" s="646"/>
      <c r="Z197" s="646"/>
    </row>
    <row r="198" spans="1:26" ht="15.75" customHeight="1">
      <c r="A198" s="646"/>
      <c r="B198" s="646"/>
      <c r="C198" s="646"/>
      <c r="D198" s="646"/>
      <c r="E198" s="646"/>
      <c r="F198" s="646"/>
      <c r="G198" s="646"/>
      <c r="H198" s="646"/>
      <c r="I198" s="646"/>
      <c r="J198" s="646"/>
      <c r="K198" s="646"/>
      <c r="L198" s="646"/>
      <c r="M198" s="646"/>
      <c r="N198" s="646"/>
      <c r="O198" s="646"/>
      <c r="P198" s="646"/>
      <c r="Q198" s="646"/>
      <c r="R198" s="646"/>
      <c r="S198" s="646"/>
      <c r="T198" s="646"/>
      <c r="U198" s="646"/>
      <c r="V198" s="646"/>
      <c r="W198" s="646"/>
      <c r="X198" s="646"/>
      <c r="Y198" s="646"/>
      <c r="Z198" s="646"/>
    </row>
    <row r="199" spans="1:26" ht="15.75" customHeight="1">
      <c r="A199" s="646"/>
      <c r="B199" s="646"/>
      <c r="C199" s="646"/>
      <c r="D199" s="646"/>
      <c r="E199" s="646"/>
      <c r="F199" s="646"/>
      <c r="G199" s="646"/>
      <c r="H199" s="646"/>
      <c r="I199" s="646"/>
      <c r="J199" s="646"/>
      <c r="K199" s="646"/>
      <c r="L199" s="646"/>
      <c r="M199" s="646"/>
      <c r="N199" s="646"/>
      <c r="O199" s="646"/>
      <c r="P199" s="646"/>
      <c r="Q199" s="646"/>
      <c r="R199" s="646"/>
      <c r="S199" s="646"/>
      <c r="T199" s="646"/>
      <c r="U199" s="646"/>
      <c r="V199" s="646"/>
      <c r="W199" s="646"/>
      <c r="X199" s="646"/>
      <c r="Y199" s="646"/>
      <c r="Z199" s="646"/>
    </row>
    <row r="200" spans="1:26" ht="15.75" customHeight="1">
      <c r="A200" s="646"/>
      <c r="B200" s="646"/>
      <c r="C200" s="646"/>
      <c r="D200" s="646"/>
      <c r="E200" s="646"/>
      <c r="F200" s="646"/>
      <c r="G200" s="646"/>
      <c r="H200" s="646"/>
      <c r="I200" s="646"/>
      <c r="J200" s="646"/>
      <c r="K200" s="646"/>
      <c r="L200" s="646"/>
      <c r="M200" s="646"/>
      <c r="N200" s="646"/>
      <c r="O200" s="646"/>
      <c r="P200" s="646"/>
      <c r="Q200" s="646"/>
      <c r="R200" s="646"/>
      <c r="S200" s="646"/>
      <c r="T200" s="646"/>
      <c r="U200" s="646"/>
      <c r="V200" s="646"/>
      <c r="W200" s="646"/>
      <c r="X200" s="646"/>
      <c r="Y200" s="646"/>
      <c r="Z200" s="646"/>
    </row>
    <row r="201" spans="1:26" ht="15.75" customHeight="1">
      <c r="A201" s="646"/>
      <c r="B201" s="646"/>
      <c r="C201" s="646"/>
      <c r="D201" s="646"/>
      <c r="E201" s="646"/>
      <c r="F201" s="646"/>
      <c r="G201" s="646"/>
      <c r="H201" s="646"/>
      <c r="I201" s="646"/>
      <c r="J201" s="646"/>
      <c r="K201" s="646"/>
      <c r="L201" s="646"/>
      <c r="M201" s="646"/>
      <c r="N201" s="646"/>
      <c r="O201" s="646"/>
      <c r="P201" s="646"/>
      <c r="Q201" s="646"/>
      <c r="R201" s="646"/>
      <c r="S201" s="646"/>
      <c r="T201" s="646"/>
      <c r="U201" s="646"/>
      <c r="V201" s="646"/>
      <c r="W201" s="646"/>
      <c r="X201" s="646"/>
      <c r="Y201" s="646"/>
      <c r="Z201" s="646"/>
    </row>
    <row r="202" spans="1:26" ht="15.75" customHeight="1">
      <c r="A202" s="646"/>
      <c r="B202" s="646"/>
      <c r="C202" s="646"/>
      <c r="D202" s="646"/>
      <c r="E202" s="646"/>
      <c r="F202" s="646"/>
      <c r="G202" s="646"/>
      <c r="H202" s="646"/>
      <c r="I202" s="646"/>
      <c r="J202" s="646"/>
      <c r="K202" s="646"/>
      <c r="L202" s="646"/>
      <c r="M202" s="646"/>
      <c r="N202" s="646"/>
      <c r="O202" s="646"/>
      <c r="P202" s="646"/>
      <c r="Q202" s="646"/>
      <c r="R202" s="646"/>
      <c r="S202" s="646"/>
      <c r="T202" s="646"/>
      <c r="U202" s="646"/>
      <c r="V202" s="646"/>
      <c r="W202" s="646"/>
      <c r="X202" s="646"/>
      <c r="Y202" s="646"/>
      <c r="Z202" s="646"/>
    </row>
    <row r="203" spans="1:26" ht="15.75" customHeight="1">
      <c r="A203" s="646"/>
      <c r="B203" s="646"/>
      <c r="C203" s="646"/>
      <c r="D203" s="646"/>
      <c r="E203" s="646"/>
      <c r="F203" s="646"/>
      <c r="G203" s="646"/>
      <c r="H203" s="646"/>
      <c r="I203" s="646"/>
      <c r="J203" s="646"/>
      <c r="K203" s="646"/>
      <c r="L203" s="646"/>
      <c r="M203" s="646"/>
      <c r="N203" s="646"/>
      <c r="O203" s="646"/>
      <c r="P203" s="646"/>
      <c r="Q203" s="646"/>
      <c r="R203" s="646"/>
      <c r="S203" s="646"/>
      <c r="T203" s="646"/>
      <c r="U203" s="646"/>
      <c r="V203" s="646"/>
      <c r="W203" s="646"/>
      <c r="X203" s="646"/>
      <c r="Y203" s="646"/>
      <c r="Z203" s="646"/>
    </row>
    <row r="204" spans="1:26" ht="15.75" customHeight="1">
      <c r="A204" s="646"/>
      <c r="B204" s="646"/>
      <c r="C204" s="646"/>
      <c r="D204" s="646"/>
      <c r="E204" s="646"/>
      <c r="F204" s="646"/>
      <c r="G204" s="646"/>
      <c r="H204" s="646"/>
      <c r="I204" s="646"/>
      <c r="J204" s="646"/>
      <c r="K204" s="646"/>
      <c r="L204" s="646"/>
      <c r="M204" s="646"/>
      <c r="N204" s="646"/>
      <c r="O204" s="646"/>
      <c r="P204" s="646"/>
      <c r="Q204" s="646"/>
      <c r="R204" s="646"/>
      <c r="S204" s="646"/>
      <c r="T204" s="646"/>
      <c r="U204" s="646"/>
      <c r="V204" s="646"/>
      <c r="W204" s="646"/>
      <c r="X204" s="646"/>
      <c r="Y204" s="646"/>
      <c r="Z204" s="646"/>
    </row>
    <row r="205" spans="1:26" ht="15.75" customHeight="1">
      <c r="A205" s="646"/>
      <c r="B205" s="646"/>
      <c r="C205" s="646"/>
      <c r="D205" s="646"/>
      <c r="E205" s="646"/>
      <c r="F205" s="646"/>
      <c r="G205" s="646"/>
      <c r="H205" s="646"/>
      <c r="I205" s="646"/>
      <c r="J205" s="646"/>
      <c r="K205" s="646"/>
      <c r="L205" s="646"/>
      <c r="M205" s="646"/>
      <c r="N205" s="646"/>
      <c r="O205" s="646"/>
      <c r="P205" s="646"/>
      <c r="Q205" s="646"/>
      <c r="R205" s="646"/>
      <c r="S205" s="646"/>
      <c r="T205" s="646"/>
      <c r="U205" s="646"/>
      <c r="V205" s="646"/>
      <c r="W205" s="646"/>
      <c r="X205" s="646"/>
      <c r="Y205" s="646"/>
      <c r="Z205" s="646"/>
    </row>
    <row r="206" spans="1:26" ht="15.75" customHeight="1">
      <c r="A206" s="646"/>
      <c r="B206" s="646"/>
      <c r="C206" s="646"/>
      <c r="D206" s="646"/>
      <c r="E206" s="646"/>
      <c r="F206" s="646"/>
      <c r="G206" s="646"/>
      <c r="H206" s="646"/>
      <c r="I206" s="646"/>
      <c r="J206" s="646"/>
      <c r="K206" s="646"/>
      <c r="L206" s="646"/>
      <c r="M206" s="646"/>
      <c r="N206" s="646"/>
      <c r="O206" s="646"/>
      <c r="P206" s="646"/>
      <c r="Q206" s="646"/>
      <c r="R206" s="646"/>
      <c r="S206" s="646"/>
      <c r="T206" s="646"/>
      <c r="U206" s="646"/>
      <c r="V206" s="646"/>
      <c r="W206" s="646"/>
      <c r="X206" s="646"/>
      <c r="Y206" s="646"/>
      <c r="Z206" s="646"/>
    </row>
    <row r="207" spans="1:26" ht="15.75" customHeight="1">
      <c r="A207" s="646"/>
      <c r="B207" s="646"/>
      <c r="C207" s="646"/>
      <c r="D207" s="646"/>
      <c r="E207" s="646"/>
      <c r="F207" s="646"/>
      <c r="G207" s="646"/>
      <c r="H207" s="646"/>
      <c r="I207" s="646"/>
      <c r="J207" s="646"/>
      <c r="K207" s="646"/>
      <c r="L207" s="646"/>
      <c r="M207" s="646"/>
      <c r="N207" s="646"/>
      <c r="O207" s="646"/>
      <c r="P207" s="646"/>
      <c r="Q207" s="646"/>
      <c r="R207" s="646"/>
      <c r="S207" s="646"/>
      <c r="T207" s="646"/>
      <c r="U207" s="646"/>
      <c r="V207" s="646"/>
      <c r="W207" s="646"/>
      <c r="X207" s="646"/>
      <c r="Y207" s="646"/>
      <c r="Z207" s="646"/>
    </row>
    <row r="208" spans="1:26" ht="15.75" customHeight="1">
      <c r="A208" s="646"/>
      <c r="B208" s="646"/>
      <c r="C208" s="646"/>
      <c r="D208" s="646"/>
      <c r="E208" s="646"/>
      <c r="F208" s="646"/>
      <c r="G208" s="646"/>
      <c r="H208" s="646"/>
      <c r="I208" s="646"/>
      <c r="J208" s="646"/>
      <c r="K208" s="646"/>
      <c r="L208" s="646"/>
      <c r="M208" s="646"/>
      <c r="N208" s="646"/>
      <c r="O208" s="646"/>
      <c r="P208" s="646"/>
      <c r="Q208" s="646"/>
      <c r="R208" s="646"/>
      <c r="S208" s="646"/>
      <c r="T208" s="646"/>
      <c r="U208" s="646"/>
      <c r="V208" s="646"/>
      <c r="W208" s="646"/>
      <c r="X208" s="646"/>
      <c r="Y208" s="646"/>
      <c r="Z208" s="646"/>
    </row>
    <row r="209" spans="1:26" ht="15.75" customHeight="1">
      <c r="A209" s="646"/>
      <c r="B209" s="646"/>
      <c r="C209" s="646"/>
      <c r="D209" s="646"/>
      <c r="E209" s="646"/>
      <c r="F209" s="646"/>
      <c r="G209" s="646"/>
      <c r="H209" s="646"/>
      <c r="I209" s="646"/>
      <c r="J209" s="646"/>
      <c r="K209" s="646"/>
      <c r="L209" s="646"/>
      <c r="M209" s="646"/>
      <c r="N209" s="646"/>
      <c r="O209" s="646"/>
      <c r="P209" s="646"/>
      <c r="Q209" s="646"/>
      <c r="R209" s="646"/>
      <c r="S209" s="646"/>
      <c r="T209" s="646"/>
      <c r="U209" s="646"/>
      <c r="V209" s="646"/>
      <c r="W209" s="646"/>
      <c r="X209" s="646"/>
      <c r="Y209" s="646"/>
      <c r="Z209" s="646"/>
    </row>
    <row r="210" spans="1:26" ht="15.75" customHeight="1">
      <c r="A210" s="646"/>
      <c r="B210" s="646"/>
      <c r="C210" s="646"/>
      <c r="D210" s="646"/>
      <c r="E210" s="646"/>
      <c r="F210" s="646"/>
      <c r="G210" s="646"/>
      <c r="H210" s="646"/>
      <c r="I210" s="646"/>
      <c r="J210" s="646"/>
      <c r="K210" s="646"/>
      <c r="L210" s="646"/>
      <c r="M210" s="646"/>
      <c r="N210" s="646"/>
      <c r="O210" s="646"/>
      <c r="P210" s="646"/>
      <c r="Q210" s="646"/>
      <c r="R210" s="646"/>
      <c r="S210" s="646"/>
      <c r="T210" s="646"/>
      <c r="U210" s="646"/>
      <c r="V210" s="646"/>
      <c r="W210" s="646"/>
      <c r="X210" s="646"/>
      <c r="Y210" s="646"/>
      <c r="Z210" s="646"/>
    </row>
    <row r="211" spans="1:26" ht="15.75" customHeight="1">
      <c r="A211" s="646"/>
      <c r="B211" s="646"/>
      <c r="C211" s="646"/>
      <c r="D211" s="646"/>
      <c r="E211" s="646"/>
      <c r="F211" s="646"/>
      <c r="G211" s="646"/>
      <c r="H211" s="646"/>
      <c r="I211" s="646"/>
      <c r="J211" s="646"/>
      <c r="K211" s="646"/>
      <c r="L211" s="646"/>
      <c r="M211" s="646"/>
      <c r="N211" s="646"/>
      <c r="O211" s="646"/>
      <c r="P211" s="646"/>
      <c r="Q211" s="646"/>
      <c r="R211" s="646"/>
      <c r="S211" s="646"/>
      <c r="T211" s="646"/>
      <c r="U211" s="646"/>
      <c r="V211" s="646"/>
      <c r="W211" s="646"/>
      <c r="X211" s="646"/>
      <c r="Y211" s="646"/>
      <c r="Z211" s="646"/>
    </row>
    <row r="212" spans="1:26" ht="15.75" customHeight="1">
      <c r="A212" s="646"/>
      <c r="B212" s="646"/>
      <c r="C212" s="646"/>
      <c r="D212" s="646"/>
      <c r="E212" s="646"/>
      <c r="F212" s="646"/>
      <c r="G212" s="646"/>
      <c r="H212" s="646"/>
      <c r="I212" s="646"/>
      <c r="J212" s="646"/>
      <c r="K212" s="646"/>
      <c r="L212" s="646"/>
      <c r="M212" s="646"/>
      <c r="N212" s="646"/>
      <c r="O212" s="646"/>
      <c r="P212" s="646"/>
      <c r="Q212" s="646"/>
      <c r="R212" s="646"/>
      <c r="S212" s="646"/>
      <c r="T212" s="646"/>
      <c r="U212" s="646"/>
      <c r="V212" s="646"/>
      <c r="W212" s="646"/>
      <c r="X212" s="646"/>
      <c r="Y212" s="646"/>
      <c r="Z212" s="646"/>
    </row>
    <row r="213" spans="1:26" ht="15.75" customHeight="1">
      <c r="A213" s="646"/>
      <c r="B213" s="646"/>
      <c r="C213" s="646"/>
      <c r="D213" s="646"/>
      <c r="E213" s="646"/>
      <c r="F213" s="646"/>
      <c r="G213" s="646"/>
      <c r="H213" s="646"/>
      <c r="I213" s="646"/>
      <c r="J213" s="646"/>
      <c r="K213" s="646"/>
      <c r="L213" s="646"/>
      <c r="M213" s="646"/>
      <c r="N213" s="646"/>
      <c r="O213" s="646"/>
      <c r="P213" s="646"/>
      <c r="Q213" s="646"/>
      <c r="R213" s="646"/>
      <c r="S213" s="646"/>
      <c r="T213" s="646"/>
      <c r="U213" s="646"/>
      <c r="V213" s="646"/>
      <c r="W213" s="646"/>
      <c r="X213" s="646"/>
      <c r="Y213" s="646"/>
      <c r="Z213" s="646"/>
    </row>
    <row r="214" spans="1:26" ht="15.75" customHeight="1">
      <c r="A214" s="646"/>
      <c r="B214" s="646"/>
      <c r="C214" s="646"/>
      <c r="D214" s="646"/>
      <c r="E214" s="646"/>
      <c r="F214" s="646"/>
      <c r="G214" s="646"/>
      <c r="H214" s="646"/>
      <c r="I214" s="646"/>
      <c r="J214" s="646"/>
      <c r="K214" s="646"/>
      <c r="L214" s="646"/>
      <c r="M214" s="646"/>
      <c r="N214" s="646"/>
      <c r="O214" s="646"/>
      <c r="P214" s="646"/>
      <c r="Q214" s="646"/>
      <c r="R214" s="646"/>
      <c r="S214" s="646"/>
      <c r="T214" s="646"/>
      <c r="U214" s="646"/>
      <c r="V214" s="646"/>
      <c r="W214" s="646"/>
      <c r="X214" s="646"/>
      <c r="Y214" s="646"/>
      <c r="Z214" s="646"/>
    </row>
    <row r="215" spans="1:26" ht="15.75" customHeight="1">
      <c r="A215" s="646"/>
      <c r="B215" s="646"/>
      <c r="C215" s="646"/>
      <c r="D215" s="646"/>
      <c r="E215" s="646"/>
      <c r="F215" s="646"/>
      <c r="G215" s="646"/>
      <c r="H215" s="646"/>
      <c r="I215" s="646"/>
      <c r="J215" s="646"/>
      <c r="K215" s="646"/>
      <c r="L215" s="646"/>
      <c r="M215" s="646"/>
      <c r="N215" s="646"/>
      <c r="O215" s="646"/>
      <c r="P215" s="646"/>
      <c r="Q215" s="646"/>
      <c r="R215" s="646"/>
      <c r="S215" s="646"/>
      <c r="T215" s="646"/>
      <c r="U215" s="646"/>
      <c r="V215" s="646"/>
      <c r="W215" s="646"/>
      <c r="X215" s="646"/>
      <c r="Y215" s="646"/>
      <c r="Z215" s="646"/>
    </row>
    <row r="216" spans="1:26" ht="15.75" customHeight="1">
      <c r="A216" s="646"/>
      <c r="B216" s="646"/>
      <c r="C216" s="646"/>
      <c r="D216" s="646"/>
      <c r="E216" s="646"/>
      <c r="F216" s="646"/>
      <c r="G216" s="646"/>
      <c r="H216" s="646"/>
      <c r="I216" s="646"/>
      <c r="J216" s="646"/>
      <c r="K216" s="646"/>
      <c r="L216" s="646"/>
      <c r="M216" s="646"/>
      <c r="N216" s="646"/>
      <c r="O216" s="646"/>
      <c r="P216" s="646"/>
      <c r="Q216" s="646"/>
      <c r="R216" s="646"/>
      <c r="S216" s="646"/>
      <c r="T216" s="646"/>
      <c r="U216" s="646"/>
      <c r="V216" s="646"/>
      <c r="W216" s="646"/>
      <c r="X216" s="646"/>
      <c r="Y216" s="646"/>
      <c r="Z216" s="646"/>
    </row>
    <row r="217" spans="1:26" ht="15.75" customHeight="1">
      <c r="A217" s="646"/>
      <c r="B217" s="646"/>
      <c r="C217" s="646"/>
      <c r="D217" s="646"/>
      <c r="E217" s="646"/>
      <c r="F217" s="646"/>
      <c r="G217" s="646"/>
      <c r="H217" s="646"/>
      <c r="I217" s="646"/>
      <c r="J217" s="646"/>
      <c r="K217" s="646"/>
      <c r="L217" s="646"/>
      <c r="M217" s="646"/>
      <c r="N217" s="646"/>
      <c r="O217" s="646"/>
      <c r="P217" s="646"/>
      <c r="Q217" s="646"/>
      <c r="R217" s="646"/>
      <c r="S217" s="646"/>
      <c r="T217" s="646"/>
      <c r="U217" s="646"/>
      <c r="V217" s="646"/>
      <c r="W217" s="646"/>
      <c r="X217" s="646"/>
      <c r="Y217" s="646"/>
      <c r="Z217" s="646"/>
    </row>
    <row r="218" spans="1:26" ht="15.75" customHeight="1">
      <c r="A218" s="646"/>
      <c r="B218" s="646"/>
      <c r="C218" s="646"/>
      <c r="D218" s="646"/>
      <c r="E218" s="646"/>
      <c r="F218" s="646"/>
      <c r="G218" s="646"/>
      <c r="H218" s="646"/>
      <c r="I218" s="646"/>
      <c r="J218" s="646"/>
      <c r="K218" s="646"/>
      <c r="L218" s="646"/>
      <c r="M218" s="646"/>
      <c r="N218" s="646"/>
      <c r="O218" s="646"/>
      <c r="P218" s="646"/>
      <c r="Q218" s="646"/>
      <c r="R218" s="646"/>
      <c r="S218" s="646"/>
      <c r="T218" s="646"/>
      <c r="U218" s="646"/>
      <c r="V218" s="646"/>
      <c r="W218" s="646"/>
      <c r="X218" s="646"/>
      <c r="Y218" s="646"/>
      <c r="Z218" s="646"/>
    </row>
    <row r="219" spans="1:26" ht="15.75" customHeight="1">
      <c r="A219" s="646"/>
      <c r="B219" s="646"/>
      <c r="C219" s="646"/>
      <c r="D219" s="646"/>
      <c r="E219" s="646"/>
      <c r="F219" s="646"/>
      <c r="G219" s="646"/>
      <c r="H219" s="646"/>
      <c r="I219" s="646"/>
      <c r="J219" s="646"/>
      <c r="K219" s="646"/>
      <c r="L219" s="646"/>
      <c r="M219" s="646"/>
      <c r="N219" s="646"/>
      <c r="O219" s="646"/>
      <c r="P219" s="646"/>
      <c r="Q219" s="646"/>
      <c r="R219" s="646"/>
      <c r="S219" s="646"/>
      <c r="T219" s="646"/>
      <c r="U219" s="646"/>
      <c r="V219" s="646"/>
      <c r="W219" s="646"/>
      <c r="X219" s="646"/>
      <c r="Y219" s="646"/>
      <c r="Z219" s="646"/>
    </row>
    <row r="220" spans="1:26" ht="15.75" customHeight="1">
      <c r="A220" s="646"/>
      <c r="B220" s="646"/>
      <c r="C220" s="646"/>
      <c r="D220" s="646"/>
      <c r="E220" s="646"/>
      <c r="F220" s="646"/>
      <c r="G220" s="646"/>
      <c r="H220" s="646"/>
      <c r="I220" s="646"/>
      <c r="J220" s="646"/>
      <c r="K220" s="646"/>
      <c r="L220" s="646"/>
      <c r="M220" s="646"/>
      <c r="N220" s="646"/>
      <c r="O220" s="646"/>
      <c r="P220" s="646"/>
      <c r="Q220" s="646"/>
      <c r="R220" s="646"/>
      <c r="S220" s="646"/>
      <c r="T220" s="646"/>
      <c r="U220" s="646"/>
      <c r="V220" s="646"/>
      <c r="W220" s="646"/>
      <c r="X220" s="646"/>
      <c r="Y220" s="646"/>
      <c r="Z220" s="646"/>
    </row>
    <row r="221" spans="1:26" ht="15.75" customHeight="1">
      <c r="A221" s="646"/>
      <c r="B221" s="646"/>
      <c r="C221" s="646"/>
      <c r="D221" s="646"/>
      <c r="E221" s="646"/>
      <c r="F221" s="646"/>
      <c r="G221" s="646"/>
      <c r="H221" s="646"/>
      <c r="I221" s="646"/>
      <c r="J221" s="646"/>
      <c r="K221" s="646"/>
      <c r="L221" s="646"/>
      <c r="M221" s="646"/>
      <c r="N221" s="646"/>
      <c r="O221" s="646"/>
      <c r="P221" s="646"/>
      <c r="Q221" s="646"/>
      <c r="R221" s="646"/>
      <c r="S221" s="646"/>
      <c r="T221" s="646"/>
      <c r="U221" s="646"/>
      <c r="V221" s="646"/>
      <c r="W221" s="646"/>
      <c r="X221" s="646"/>
      <c r="Y221" s="646"/>
      <c r="Z221" s="646"/>
    </row>
    <row r="222" spans="1:26" ht="15.75" customHeight="1">
      <c r="A222" s="646"/>
      <c r="B222" s="646"/>
      <c r="C222" s="646"/>
      <c r="D222" s="646"/>
      <c r="E222" s="646"/>
      <c r="F222" s="646"/>
      <c r="G222" s="646"/>
      <c r="H222" s="646"/>
      <c r="I222" s="646"/>
      <c r="J222" s="646"/>
      <c r="K222" s="646"/>
      <c r="L222" s="646"/>
      <c r="M222" s="646"/>
      <c r="N222" s="646"/>
      <c r="O222" s="646"/>
      <c r="P222" s="646"/>
      <c r="Q222" s="646"/>
      <c r="R222" s="646"/>
      <c r="S222" s="646"/>
      <c r="T222" s="646"/>
      <c r="U222" s="646"/>
      <c r="V222" s="646"/>
      <c r="W222" s="646"/>
      <c r="X222" s="646"/>
      <c r="Y222" s="646"/>
      <c r="Z222" s="646"/>
    </row>
    <row r="223" spans="1:26" ht="15.75" customHeight="1">
      <c r="A223" s="646"/>
      <c r="B223" s="646"/>
      <c r="C223" s="646"/>
      <c r="D223" s="646"/>
      <c r="E223" s="646"/>
      <c r="F223" s="646"/>
      <c r="G223" s="646"/>
      <c r="H223" s="646"/>
      <c r="I223" s="646"/>
      <c r="J223" s="646"/>
      <c r="K223" s="646"/>
      <c r="L223" s="646"/>
      <c r="M223" s="646"/>
      <c r="N223" s="646"/>
      <c r="O223" s="646"/>
      <c r="P223" s="646"/>
      <c r="Q223" s="646"/>
      <c r="R223" s="646"/>
      <c r="S223" s="646"/>
      <c r="T223" s="646"/>
      <c r="U223" s="646"/>
      <c r="V223" s="646"/>
      <c r="W223" s="646"/>
      <c r="X223" s="646"/>
      <c r="Y223" s="646"/>
      <c r="Z223" s="646"/>
    </row>
    <row r="224" spans="1:26" ht="15.75" customHeight="1">
      <c r="A224" s="646"/>
      <c r="B224" s="646"/>
      <c r="C224" s="646"/>
      <c r="D224" s="646"/>
      <c r="E224" s="646"/>
      <c r="F224" s="646"/>
      <c r="G224" s="646"/>
      <c r="H224" s="646"/>
      <c r="I224" s="646"/>
      <c r="J224" s="646"/>
      <c r="K224" s="646"/>
      <c r="L224" s="646"/>
      <c r="M224" s="646"/>
      <c r="N224" s="646"/>
      <c r="O224" s="646"/>
      <c r="P224" s="646"/>
      <c r="Q224" s="646"/>
      <c r="R224" s="646"/>
      <c r="S224" s="646"/>
      <c r="T224" s="646"/>
      <c r="U224" s="646"/>
      <c r="V224" s="646"/>
      <c r="W224" s="646"/>
      <c r="X224" s="646"/>
      <c r="Y224" s="646"/>
      <c r="Z224" s="646"/>
    </row>
    <row r="225" spans="1:26" ht="15.75" customHeight="1">
      <c r="A225" s="646"/>
      <c r="B225" s="646"/>
      <c r="C225" s="646"/>
      <c r="D225" s="646"/>
      <c r="E225" s="646"/>
      <c r="F225" s="646"/>
      <c r="G225" s="646"/>
      <c r="H225" s="646"/>
      <c r="I225" s="646"/>
      <c r="J225" s="646"/>
      <c r="K225" s="646"/>
      <c r="L225" s="646"/>
      <c r="M225" s="646"/>
      <c r="N225" s="646"/>
      <c r="O225" s="646"/>
      <c r="P225" s="646"/>
      <c r="Q225" s="646"/>
      <c r="R225" s="646"/>
      <c r="S225" s="646"/>
      <c r="T225" s="646"/>
      <c r="U225" s="646"/>
      <c r="V225" s="646"/>
      <c r="W225" s="646"/>
      <c r="X225" s="646"/>
      <c r="Y225" s="646"/>
      <c r="Z225" s="646"/>
    </row>
    <row r="226" spans="1:26" ht="15.75" customHeight="1">
      <c r="A226" s="646"/>
      <c r="B226" s="646"/>
      <c r="C226" s="646"/>
      <c r="D226" s="646"/>
      <c r="E226" s="646"/>
      <c r="F226" s="646"/>
      <c r="G226" s="646"/>
      <c r="H226" s="646"/>
      <c r="I226" s="646"/>
      <c r="J226" s="646"/>
      <c r="K226" s="646"/>
      <c r="L226" s="646"/>
      <c r="M226" s="646"/>
      <c r="N226" s="646"/>
      <c r="O226" s="646"/>
      <c r="P226" s="646"/>
      <c r="Q226" s="646"/>
      <c r="R226" s="646"/>
      <c r="S226" s="646"/>
      <c r="T226" s="646"/>
      <c r="U226" s="646"/>
      <c r="V226" s="646"/>
      <c r="W226" s="646"/>
      <c r="X226" s="646"/>
      <c r="Y226" s="646"/>
      <c r="Z226" s="646"/>
    </row>
    <row r="227" spans="1:26" ht="15.75" customHeight="1">
      <c r="A227" s="646"/>
      <c r="B227" s="646"/>
      <c r="C227" s="646"/>
      <c r="D227" s="646"/>
      <c r="E227" s="646"/>
      <c r="F227" s="646"/>
      <c r="G227" s="646"/>
      <c r="H227" s="646"/>
      <c r="I227" s="646"/>
      <c r="J227" s="646"/>
      <c r="K227" s="646"/>
      <c r="L227" s="646"/>
      <c r="M227" s="646"/>
      <c r="N227" s="646"/>
      <c r="O227" s="646"/>
      <c r="P227" s="646"/>
      <c r="Q227" s="646"/>
      <c r="R227" s="646"/>
      <c r="S227" s="646"/>
      <c r="T227" s="646"/>
      <c r="U227" s="646"/>
      <c r="V227" s="646"/>
      <c r="W227" s="646"/>
      <c r="X227" s="646"/>
      <c r="Y227" s="646"/>
      <c r="Z227" s="646"/>
    </row>
    <row r="228" spans="1:26" ht="15.75" customHeight="1">
      <c r="A228" s="646"/>
      <c r="B228" s="646"/>
      <c r="C228" s="646"/>
      <c r="D228" s="646"/>
      <c r="E228" s="646"/>
      <c r="F228" s="646"/>
      <c r="G228" s="646"/>
      <c r="H228" s="646"/>
      <c r="I228" s="646"/>
      <c r="J228" s="646"/>
      <c r="K228" s="646"/>
      <c r="L228" s="646"/>
      <c r="M228" s="646"/>
      <c r="N228" s="646"/>
      <c r="O228" s="646"/>
      <c r="P228" s="646"/>
      <c r="Q228" s="646"/>
      <c r="R228" s="646"/>
      <c r="S228" s="646"/>
      <c r="T228" s="646"/>
      <c r="U228" s="646"/>
      <c r="V228" s="646"/>
      <c r="W228" s="646"/>
      <c r="X228" s="646"/>
      <c r="Y228" s="646"/>
      <c r="Z228" s="646"/>
    </row>
    <row r="229" spans="1:26" ht="15.75" customHeight="1">
      <c r="A229" s="646"/>
      <c r="B229" s="646"/>
      <c r="C229" s="646"/>
      <c r="D229" s="646"/>
      <c r="E229" s="646"/>
      <c r="F229" s="646"/>
      <c r="G229" s="646"/>
      <c r="H229" s="646"/>
      <c r="I229" s="646"/>
      <c r="J229" s="646"/>
      <c r="K229" s="646"/>
      <c r="L229" s="646"/>
      <c r="M229" s="646"/>
      <c r="N229" s="646"/>
      <c r="O229" s="646"/>
      <c r="P229" s="646"/>
      <c r="Q229" s="646"/>
      <c r="R229" s="646"/>
      <c r="S229" s="646"/>
      <c r="T229" s="646"/>
      <c r="U229" s="646"/>
      <c r="V229" s="646"/>
      <c r="W229" s="646"/>
      <c r="X229" s="646"/>
      <c r="Y229" s="646"/>
      <c r="Z229" s="646"/>
    </row>
    <row r="230" spans="1:26" ht="15.75" customHeight="1">
      <c r="A230" s="646"/>
      <c r="B230" s="646"/>
      <c r="C230" s="646"/>
      <c r="D230" s="646"/>
      <c r="E230" s="646"/>
      <c r="F230" s="646"/>
      <c r="G230" s="646"/>
      <c r="H230" s="646"/>
      <c r="I230" s="646"/>
      <c r="J230" s="646"/>
      <c r="K230" s="646"/>
      <c r="L230" s="646"/>
      <c r="M230" s="646"/>
      <c r="N230" s="646"/>
      <c r="O230" s="646"/>
      <c r="P230" s="646"/>
      <c r="Q230" s="646"/>
      <c r="R230" s="646"/>
      <c r="S230" s="646"/>
      <c r="T230" s="646"/>
      <c r="U230" s="646"/>
      <c r="V230" s="646"/>
      <c r="W230" s="646"/>
      <c r="X230" s="646"/>
      <c r="Y230" s="646"/>
      <c r="Z230" s="646"/>
    </row>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895BE-7794-4627-A7D6-C9FF1D9E48F3}">
  <sheetPr>
    <tabColor theme="9" tint="0.59999389629810485"/>
    <outlinePr summaryBelow="0" summaryRight="0"/>
  </sheetPr>
  <dimension ref="B1:Z1000"/>
  <sheetViews>
    <sheetView topLeftCell="C90" workbookViewId="0">
      <selection activeCell="B21" sqref="B21"/>
    </sheetView>
  </sheetViews>
  <sheetFormatPr defaultColWidth="12.6640625" defaultRowHeight="15" customHeight="1"/>
  <cols>
    <col min="1" max="1" width="12.6640625" style="10"/>
    <col min="2" max="2" width="56.6640625" style="10" customWidth="1"/>
    <col min="3" max="3" width="53.77734375" style="10" customWidth="1"/>
    <col min="4" max="4" width="30.33203125" style="10" customWidth="1"/>
    <col min="5" max="5" width="39.33203125" style="10" customWidth="1"/>
    <col min="6" max="6" width="56.21875" style="10" customWidth="1"/>
    <col min="7" max="7" width="58.33203125" style="10" customWidth="1"/>
    <col min="8" max="8" width="49.88671875" style="10" customWidth="1"/>
    <col min="9" max="9" width="50.109375" style="10" customWidth="1"/>
    <col min="10" max="10" width="20.6640625" style="10" customWidth="1"/>
    <col min="11" max="11" width="16.33203125" style="10" customWidth="1"/>
    <col min="12" max="12" width="17.33203125" style="10" customWidth="1"/>
    <col min="13" max="13" width="17.88671875" style="10" customWidth="1"/>
    <col min="14" max="14" width="17.109375" style="10" customWidth="1"/>
    <col min="15" max="16" width="16.44140625" style="10" customWidth="1"/>
    <col min="17" max="17" width="16.88671875" style="10" customWidth="1"/>
    <col min="18" max="18" width="15.77734375" style="10" customWidth="1"/>
    <col min="19" max="19" width="17.21875" style="10" customWidth="1"/>
    <col min="20" max="20" width="15.109375" style="10" customWidth="1"/>
    <col min="21" max="21" width="13.77734375" style="10" customWidth="1"/>
    <col min="22" max="22" width="14.6640625" style="10" customWidth="1"/>
    <col min="23" max="16384" width="12.6640625" style="10"/>
  </cols>
  <sheetData>
    <row r="1" spans="2:22" ht="15.75" customHeight="1"/>
    <row r="2" spans="2:22" ht="15.75" customHeight="1"/>
    <row r="3" spans="2:22" ht="15.75" customHeight="1">
      <c r="B3" s="11" t="s">
        <v>65</v>
      </c>
      <c r="C3" s="12" t="s">
        <v>0</v>
      </c>
      <c r="D3" s="13">
        <v>2005</v>
      </c>
      <c r="E3" s="13">
        <v>2006</v>
      </c>
      <c r="F3" s="13">
        <v>2007</v>
      </c>
      <c r="G3" s="13">
        <v>2008</v>
      </c>
      <c r="H3" s="13">
        <v>2009</v>
      </c>
      <c r="I3" s="13">
        <v>2010</v>
      </c>
      <c r="J3" s="13">
        <v>2011</v>
      </c>
      <c r="K3" s="13">
        <v>2012</v>
      </c>
      <c r="L3" s="13">
        <v>2013</v>
      </c>
      <c r="M3" s="13">
        <v>2014</v>
      </c>
      <c r="N3" s="13">
        <v>2015</v>
      </c>
      <c r="O3" s="13">
        <v>2016</v>
      </c>
      <c r="P3" s="13">
        <v>2017</v>
      </c>
      <c r="Q3" s="13">
        <v>2018</v>
      </c>
      <c r="R3" s="14">
        <v>2019</v>
      </c>
      <c r="S3" s="14">
        <v>2020</v>
      </c>
      <c r="T3" s="14">
        <v>2021</v>
      </c>
      <c r="U3" s="14">
        <v>2022</v>
      </c>
      <c r="V3" s="14">
        <v>2023</v>
      </c>
    </row>
    <row r="4" spans="2:22" ht="15.75" customHeight="1">
      <c r="B4" s="15"/>
      <c r="C4" s="16"/>
      <c r="D4" s="17">
        <f>'State total population'!C5</f>
        <v>32989000</v>
      </c>
      <c r="E4" s="17">
        <f>'State total population'!D5</f>
        <v>33265000</v>
      </c>
      <c r="F4" s="17">
        <f>'State total population'!E5</f>
        <v>33535000</v>
      </c>
      <c r="G4" s="17">
        <f>'State total population'!F5</f>
        <v>33802000</v>
      </c>
      <c r="H4" s="17">
        <f>'State total population'!G5</f>
        <v>34063000</v>
      </c>
      <c r="I4" s="17">
        <f>'State total population'!H5</f>
        <v>34317000</v>
      </c>
      <c r="J4" s="17">
        <f>'State total population'!I5</f>
        <v>33406061</v>
      </c>
      <c r="K4" s="17">
        <f>'State total population'!J5</f>
        <v>33641000</v>
      </c>
      <c r="L4" s="17">
        <f>'State total population'!K5</f>
        <v>33875000</v>
      </c>
      <c r="M4" s="17">
        <f>'State total population'!L5</f>
        <v>34109000</v>
      </c>
      <c r="N4" s="17">
        <f>'State total population'!M5</f>
        <v>34344000</v>
      </c>
      <c r="O4" s="17">
        <f>'State total population'!N5</f>
        <v>34578000</v>
      </c>
      <c r="P4" s="17">
        <f>'State total population'!O5</f>
        <v>34761000</v>
      </c>
      <c r="Q4" s="17">
        <f>'State total population'!P5</f>
        <v>34943000</v>
      </c>
      <c r="R4" s="17">
        <f>'State total population'!Q5</f>
        <v>35125000</v>
      </c>
      <c r="S4" s="17">
        <f>'State total population'!R5</f>
        <v>35307000</v>
      </c>
      <c r="T4" s="17">
        <f>'State total population'!S5</f>
        <v>35489000</v>
      </c>
      <c r="U4" s="17">
        <f>'State total population'!T5</f>
        <v>35633000</v>
      </c>
      <c r="V4" s="17">
        <f>'State total population'!U5</f>
        <v>35776000</v>
      </c>
    </row>
    <row r="5" spans="2:22" ht="15.75" customHeight="1">
      <c r="B5" s="18"/>
      <c r="C5" s="19"/>
      <c r="D5" s="20"/>
      <c r="E5" s="21"/>
      <c r="F5" s="22"/>
      <c r="G5" s="22"/>
      <c r="H5" s="22"/>
      <c r="I5" s="22"/>
      <c r="J5" s="22"/>
      <c r="K5" s="22"/>
      <c r="L5" s="22"/>
      <c r="M5" s="22"/>
      <c r="N5" s="22"/>
      <c r="O5" s="23"/>
      <c r="P5" s="23"/>
      <c r="Q5" s="23"/>
    </row>
    <row r="6" spans="2:22" ht="15.75" customHeight="1">
      <c r="B6" s="21"/>
      <c r="C6" s="19"/>
      <c r="D6" s="21"/>
      <c r="E6" s="21"/>
      <c r="F6" s="21"/>
      <c r="G6" s="21"/>
      <c r="H6" s="21"/>
      <c r="I6" s="21"/>
      <c r="J6" s="21"/>
      <c r="K6" s="21"/>
      <c r="L6" s="21"/>
      <c r="M6" s="21"/>
      <c r="N6" s="21"/>
      <c r="O6" s="21"/>
      <c r="P6" s="21"/>
      <c r="Q6" s="21"/>
      <c r="R6" s="21"/>
      <c r="S6" s="21"/>
      <c r="T6" s="21"/>
    </row>
    <row r="7" spans="2:22" ht="15.75" customHeight="1">
      <c r="B7" s="12" t="s">
        <v>66</v>
      </c>
      <c r="C7" s="12" t="s">
        <v>67</v>
      </c>
      <c r="D7" s="13">
        <v>2005</v>
      </c>
      <c r="E7" s="13">
        <v>2006</v>
      </c>
      <c r="F7" s="13">
        <v>2007</v>
      </c>
      <c r="G7" s="13">
        <v>2008</v>
      </c>
      <c r="H7" s="13">
        <v>2009</v>
      </c>
      <c r="I7" s="13">
        <v>2010</v>
      </c>
      <c r="J7" s="13">
        <v>2011</v>
      </c>
      <c r="K7" s="13">
        <v>2012</v>
      </c>
      <c r="L7" s="13">
        <v>2013</v>
      </c>
      <c r="M7" s="13">
        <v>2014</v>
      </c>
      <c r="N7" s="13">
        <v>2015</v>
      </c>
      <c r="O7" s="13">
        <v>2016</v>
      </c>
      <c r="P7" s="13">
        <v>2017</v>
      </c>
      <c r="Q7" s="13">
        <v>2018</v>
      </c>
      <c r="R7" s="14">
        <v>2019</v>
      </c>
      <c r="S7" s="14">
        <v>2020</v>
      </c>
      <c r="T7" s="14">
        <v>2021</v>
      </c>
      <c r="U7" s="14">
        <v>2022</v>
      </c>
      <c r="V7" s="14">
        <v>2023</v>
      </c>
    </row>
    <row r="8" spans="2:22" ht="15.75" customHeight="1">
      <c r="B8" s="24"/>
      <c r="C8" s="24"/>
      <c r="D8" s="24">
        <f>BOD!$C$7</f>
        <v>40.5</v>
      </c>
      <c r="E8" s="24">
        <f>BOD!$C$7</f>
        <v>40.5</v>
      </c>
      <c r="F8" s="24">
        <f>BOD!$C$7</f>
        <v>40.5</v>
      </c>
      <c r="G8" s="24">
        <f>BOD!$C$7</f>
        <v>40.5</v>
      </c>
      <c r="H8" s="24">
        <f>BOD!$C$7</f>
        <v>40.5</v>
      </c>
      <c r="I8" s="24">
        <f>BOD!$C$7</f>
        <v>40.5</v>
      </c>
      <c r="J8" s="24">
        <f>BOD!$C$7</f>
        <v>40.5</v>
      </c>
      <c r="K8" s="24">
        <f>BOD!$C$7</f>
        <v>40.5</v>
      </c>
      <c r="L8" s="24">
        <f>BOD!$C$7</f>
        <v>40.5</v>
      </c>
      <c r="M8" s="24">
        <f>BOD!$C$7</f>
        <v>40.5</v>
      </c>
      <c r="N8" s="24">
        <f>BOD!$C$7</f>
        <v>40.5</v>
      </c>
      <c r="O8" s="24">
        <f>BOD!$C$7</f>
        <v>40.5</v>
      </c>
      <c r="P8" s="24">
        <f>BOD!$C$7</f>
        <v>40.5</v>
      </c>
      <c r="Q8" s="24">
        <f>BOD!$C$7</f>
        <v>40.5</v>
      </c>
      <c r="R8" s="24">
        <f>BOD!$C$7</f>
        <v>40.5</v>
      </c>
      <c r="S8" s="24">
        <f>BOD!$C$7</f>
        <v>40.5</v>
      </c>
      <c r="T8" s="24">
        <f>BOD!$C$7</f>
        <v>40.5</v>
      </c>
      <c r="U8" s="24">
        <f>BOD!$C$7</f>
        <v>40.5</v>
      </c>
      <c r="V8" s="24">
        <f>BOD!$C$7</f>
        <v>40.5</v>
      </c>
    </row>
    <row r="9" spans="2:22" ht="15.75" customHeight="1">
      <c r="B9" s="21"/>
      <c r="C9" s="19"/>
      <c r="D9" s="19"/>
      <c r="E9" s="19"/>
      <c r="F9" s="22"/>
      <c r="G9" s="22"/>
      <c r="H9" s="22"/>
      <c r="I9" s="22"/>
      <c r="J9" s="22"/>
      <c r="K9" s="22"/>
      <c r="L9" s="21"/>
      <c r="M9" s="21"/>
      <c r="N9" s="21"/>
      <c r="O9" s="23"/>
      <c r="P9" s="23"/>
      <c r="Q9" s="23"/>
    </row>
    <row r="10" spans="2:22" ht="15.75" customHeight="1">
      <c r="B10" s="21"/>
      <c r="C10" s="25"/>
      <c r="D10" s="25"/>
      <c r="E10" s="25"/>
      <c r="F10" s="26"/>
      <c r="G10" s="26"/>
      <c r="H10" s="26"/>
      <c r="I10" s="26"/>
      <c r="J10" s="26"/>
      <c r="K10" s="26"/>
      <c r="L10" s="21"/>
      <c r="M10" s="21"/>
      <c r="N10" s="21"/>
      <c r="O10" s="23"/>
      <c r="P10" s="23"/>
      <c r="Q10" s="23"/>
    </row>
    <row r="11" spans="2:22" ht="15.75" customHeight="1">
      <c r="B11" s="12" t="s">
        <v>68</v>
      </c>
      <c r="C11" s="12" t="s">
        <v>69</v>
      </c>
      <c r="D11" s="13">
        <v>2005</v>
      </c>
      <c r="E11" s="13">
        <v>2006</v>
      </c>
      <c r="F11" s="13">
        <v>2007</v>
      </c>
      <c r="G11" s="13">
        <v>2008</v>
      </c>
      <c r="H11" s="13">
        <v>2009</v>
      </c>
      <c r="I11" s="13">
        <v>2010</v>
      </c>
      <c r="J11" s="13">
        <v>2011</v>
      </c>
      <c r="K11" s="13">
        <v>2012</v>
      </c>
      <c r="L11" s="13">
        <v>2013</v>
      </c>
      <c r="M11" s="13">
        <v>2014</v>
      </c>
      <c r="N11" s="13">
        <v>2015</v>
      </c>
      <c r="O11" s="13">
        <v>2016</v>
      </c>
      <c r="P11" s="13">
        <v>2017</v>
      </c>
      <c r="Q11" s="13">
        <v>2018</v>
      </c>
      <c r="R11" s="14">
        <v>2019</v>
      </c>
      <c r="S11" s="14">
        <v>2020</v>
      </c>
      <c r="T11" s="14">
        <v>2021</v>
      </c>
      <c r="U11" s="14">
        <v>2022</v>
      </c>
      <c r="V11" s="14">
        <v>2023</v>
      </c>
    </row>
    <row r="12" spans="2:22" ht="15.75" customHeight="1">
      <c r="B12" s="27"/>
      <c r="C12" s="28"/>
      <c r="D12" s="24">
        <f t="shared" ref="D12:V12" si="0">D4*D8*0.001*365</f>
        <v>487659892.5</v>
      </c>
      <c r="E12" s="24">
        <f t="shared" si="0"/>
        <v>491739862.5</v>
      </c>
      <c r="F12" s="24">
        <f t="shared" si="0"/>
        <v>495731137.5</v>
      </c>
      <c r="G12" s="24">
        <f t="shared" si="0"/>
        <v>499678065</v>
      </c>
      <c r="H12" s="24">
        <f t="shared" si="0"/>
        <v>503536297.5</v>
      </c>
      <c r="I12" s="24">
        <f t="shared" si="0"/>
        <v>507291052.5</v>
      </c>
      <c r="J12" s="24">
        <f t="shared" si="0"/>
        <v>493825096.73250002</v>
      </c>
      <c r="K12" s="24">
        <f t="shared" si="0"/>
        <v>497298082.5</v>
      </c>
      <c r="L12" s="24">
        <f t="shared" si="0"/>
        <v>500757187.5</v>
      </c>
      <c r="M12" s="24">
        <f t="shared" si="0"/>
        <v>504216292.5</v>
      </c>
      <c r="N12" s="24">
        <f t="shared" si="0"/>
        <v>507690180</v>
      </c>
      <c r="O12" s="24">
        <f t="shared" si="0"/>
        <v>511149285</v>
      </c>
      <c r="P12" s="24">
        <f t="shared" si="0"/>
        <v>513854482.5</v>
      </c>
      <c r="Q12" s="24">
        <f t="shared" si="0"/>
        <v>516544897.5</v>
      </c>
      <c r="R12" s="24">
        <f t="shared" si="0"/>
        <v>519235312.5</v>
      </c>
      <c r="S12" s="24">
        <f t="shared" si="0"/>
        <v>521925727.5</v>
      </c>
      <c r="T12" s="24">
        <f t="shared" si="0"/>
        <v>524616142.5</v>
      </c>
      <c r="U12" s="24">
        <f t="shared" si="0"/>
        <v>526744822.5</v>
      </c>
      <c r="V12" s="24">
        <f t="shared" si="0"/>
        <v>528858720</v>
      </c>
    </row>
    <row r="13" spans="2:22" ht="15.75" customHeight="1">
      <c r="B13" s="29"/>
      <c r="C13" s="25"/>
      <c r="D13" s="30"/>
      <c r="E13" s="30"/>
      <c r="F13" s="30"/>
      <c r="G13" s="30"/>
      <c r="H13" s="30"/>
      <c r="I13" s="30"/>
      <c r="J13" s="30"/>
      <c r="K13" s="30"/>
      <c r="L13" s="30"/>
      <c r="M13" s="30"/>
      <c r="N13" s="30"/>
      <c r="O13" s="31"/>
      <c r="P13" s="31"/>
      <c r="Q13" s="31"/>
      <c r="R13" s="32"/>
      <c r="S13" s="32"/>
      <c r="T13" s="32"/>
    </row>
    <row r="14" spans="2:22" ht="15.75" customHeight="1">
      <c r="B14" s="29"/>
      <c r="C14" s="25"/>
      <c r="D14" s="25"/>
      <c r="E14" s="25"/>
      <c r="F14" s="22"/>
      <c r="G14" s="22"/>
      <c r="H14" s="22"/>
      <c r="I14" s="22"/>
      <c r="J14" s="22"/>
      <c r="K14" s="22"/>
      <c r="L14" s="29"/>
      <c r="M14" s="29"/>
      <c r="N14" s="29"/>
      <c r="O14" s="23"/>
      <c r="P14" s="23"/>
      <c r="Q14" s="23"/>
    </row>
    <row r="15" spans="2:22" ht="15.75" customHeight="1">
      <c r="B15" s="12" t="s">
        <v>70</v>
      </c>
      <c r="C15" s="12" t="s">
        <v>0</v>
      </c>
      <c r="D15" s="13">
        <v>2005</v>
      </c>
      <c r="E15" s="13">
        <v>2006</v>
      </c>
      <c r="F15" s="13">
        <v>2007</v>
      </c>
      <c r="G15" s="13">
        <v>2008</v>
      </c>
      <c r="H15" s="13">
        <v>2009</v>
      </c>
      <c r="I15" s="13">
        <v>2010</v>
      </c>
      <c r="J15" s="13">
        <v>2011</v>
      </c>
      <c r="K15" s="13">
        <v>2012</v>
      </c>
      <c r="L15" s="13">
        <v>2013</v>
      </c>
      <c r="M15" s="13">
        <v>2014</v>
      </c>
      <c r="N15" s="13">
        <v>2015</v>
      </c>
      <c r="O15" s="13">
        <v>2016</v>
      </c>
      <c r="P15" s="13">
        <v>2017</v>
      </c>
      <c r="Q15" s="13">
        <v>2018</v>
      </c>
      <c r="R15" s="14">
        <v>2019</v>
      </c>
      <c r="S15" s="14">
        <v>2020</v>
      </c>
      <c r="T15" s="14">
        <v>2021</v>
      </c>
      <c r="U15" s="14">
        <v>2022</v>
      </c>
      <c r="V15" s="14">
        <v>2023</v>
      </c>
    </row>
    <row r="16" spans="2:22" ht="15.75" customHeight="1">
      <c r="B16" s="27"/>
      <c r="C16" s="28"/>
      <c r="D16" s="24">
        <v>1.25</v>
      </c>
      <c r="E16" s="24">
        <v>1.25</v>
      </c>
      <c r="F16" s="24">
        <v>1.25</v>
      </c>
      <c r="G16" s="24">
        <v>1.25</v>
      </c>
      <c r="H16" s="24">
        <v>1.25</v>
      </c>
      <c r="I16" s="24">
        <v>1.25</v>
      </c>
      <c r="J16" s="24">
        <v>1.25</v>
      </c>
      <c r="K16" s="24">
        <v>1.25</v>
      </c>
      <c r="L16" s="24">
        <v>1.25</v>
      </c>
      <c r="M16" s="24">
        <v>1.25</v>
      </c>
      <c r="N16" s="24">
        <v>1.25</v>
      </c>
      <c r="O16" s="24">
        <v>1.25</v>
      </c>
      <c r="P16" s="24">
        <v>1.25</v>
      </c>
      <c r="Q16" s="24">
        <v>1.25</v>
      </c>
      <c r="R16" s="24">
        <v>1.25</v>
      </c>
      <c r="S16" s="24">
        <v>1.25</v>
      </c>
      <c r="T16" s="24">
        <v>1.25</v>
      </c>
      <c r="U16" s="24">
        <v>1.25</v>
      </c>
      <c r="V16" s="24">
        <v>1.25</v>
      </c>
    </row>
    <row r="17" spans="2:22" ht="15.75" customHeight="1">
      <c r="B17" s="29"/>
      <c r="C17" s="25"/>
      <c r="D17" s="25"/>
      <c r="E17" s="25"/>
      <c r="F17" s="22"/>
      <c r="G17" s="22"/>
      <c r="H17" s="22"/>
      <c r="I17" s="22"/>
      <c r="J17" s="22"/>
      <c r="K17" s="22"/>
      <c r="L17" s="29"/>
      <c r="M17" s="29"/>
      <c r="N17" s="29"/>
      <c r="O17" s="29"/>
      <c r="P17" s="29"/>
      <c r="Q17" s="29"/>
    </row>
    <row r="18" spans="2:22" ht="15.75" customHeight="1">
      <c r="B18" s="29"/>
      <c r="C18" s="25"/>
      <c r="D18" s="25"/>
      <c r="E18" s="25"/>
      <c r="F18" s="22"/>
      <c r="G18" s="22"/>
      <c r="H18" s="22"/>
      <c r="I18" s="22"/>
      <c r="J18" s="22"/>
      <c r="K18" s="22"/>
      <c r="L18" s="29"/>
      <c r="M18" s="29"/>
      <c r="N18" s="29"/>
      <c r="O18" s="29"/>
      <c r="P18" s="29"/>
      <c r="Q18" s="29"/>
    </row>
    <row r="19" spans="2:22" ht="15.75" customHeight="1">
      <c r="B19" s="12" t="s">
        <v>71</v>
      </c>
      <c r="C19" s="12" t="s">
        <v>0</v>
      </c>
      <c r="D19" s="13">
        <v>2005</v>
      </c>
      <c r="E19" s="13">
        <v>2006</v>
      </c>
      <c r="F19" s="13">
        <v>2007</v>
      </c>
      <c r="G19" s="13">
        <v>2008</v>
      </c>
      <c r="H19" s="13">
        <v>2009</v>
      </c>
      <c r="I19" s="13">
        <v>2010</v>
      </c>
      <c r="J19" s="13">
        <v>2011</v>
      </c>
      <c r="K19" s="13">
        <v>2012</v>
      </c>
      <c r="L19" s="13">
        <v>2013</v>
      </c>
      <c r="M19" s="13">
        <v>2014</v>
      </c>
      <c r="N19" s="13">
        <v>2015</v>
      </c>
      <c r="O19" s="13">
        <v>2016</v>
      </c>
      <c r="P19" s="13">
        <v>2017</v>
      </c>
      <c r="Q19" s="13">
        <v>2018</v>
      </c>
      <c r="R19" s="14">
        <v>2019</v>
      </c>
      <c r="S19" s="14">
        <v>2020</v>
      </c>
      <c r="T19" s="14">
        <v>2021</v>
      </c>
      <c r="U19" s="14">
        <v>2022</v>
      </c>
      <c r="V19" s="14">
        <v>2023</v>
      </c>
    </row>
    <row r="20" spans="2:22" ht="15.75" customHeight="1">
      <c r="B20" s="27"/>
      <c r="C20" s="28"/>
      <c r="D20" s="24">
        <v>1</v>
      </c>
      <c r="E20" s="24">
        <v>1</v>
      </c>
      <c r="F20" s="24">
        <v>1</v>
      </c>
      <c r="G20" s="24">
        <v>1</v>
      </c>
      <c r="H20" s="24">
        <v>1</v>
      </c>
      <c r="I20" s="24">
        <v>1</v>
      </c>
      <c r="J20" s="24">
        <v>1</v>
      </c>
      <c r="K20" s="24">
        <v>1</v>
      </c>
      <c r="L20" s="24">
        <v>1</v>
      </c>
      <c r="M20" s="24">
        <v>1</v>
      </c>
      <c r="N20" s="24">
        <v>1</v>
      </c>
      <c r="O20" s="24">
        <v>1</v>
      </c>
      <c r="P20" s="24">
        <v>1</v>
      </c>
      <c r="Q20" s="24">
        <v>1</v>
      </c>
      <c r="R20" s="24">
        <v>1</v>
      </c>
      <c r="S20" s="24">
        <v>1</v>
      </c>
      <c r="T20" s="33">
        <v>1</v>
      </c>
      <c r="U20" s="33">
        <v>1</v>
      </c>
      <c r="V20" s="33">
        <v>1</v>
      </c>
    </row>
    <row r="21" spans="2:22" ht="15.75" customHeight="1">
      <c r="B21" s="29"/>
      <c r="C21" s="25"/>
      <c r="D21" s="25"/>
      <c r="E21" s="25"/>
      <c r="F21" s="22"/>
      <c r="G21" s="22"/>
      <c r="H21" s="22"/>
      <c r="I21" s="22"/>
      <c r="J21" s="22"/>
      <c r="K21" s="22"/>
      <c r="L21" s="29"/>
      <c r="M21" s="29"/>
      <c r="N21" s="29"/>
      <c r="O21" s="29"/>
      <c r="P21" s="29"/>
      <c r="Q21" s="29"/>
    </row>
    <row r="22" spans="2:22" ht="15.75" customHeight="1">
      <c r="B22" s="29"/>
      <c r="C22" s="25"/>
      <c r="D22" s="25"/>
      <c r="E22" s="25"/>
      <c r="F22" s="22"/>
      <c r="G22" s="22"/>
      <c r="H22" s="22"/>
      <c r="I22" s="22"/>
      <c r="J22" s="22"/>
      <c r="K22" s="22"/>
      <c r="L22" s="29"/>
      <c r="M22" s="29"/>
      <c r="N22" s="29"/>
      <c r="O22" s="29"/>
      <c r="P22" s="29"/>
      <c r="Q22" s="29"/>
    </row>
    <row r="23" spans="2:22" ht="15.75" customHeight="1">
      <c r="B23" s="12" t="s">
        <v>72</v>
      </c>
      <c r="C23" s="12" t="s">
        <v>69</v>
      </c>
      <c r="D23" s="13">
        <v>2005</v>
      </c>
      <c r="E23" s="13">
        <v>2006</v>
      </c>
      <c r="F23" s="13">
        <v>2007</v>
      </c>
      <c r="G23" s="13">
        <v>2008</v>
      </c>
      <c r="H23" s="13">
        <v>2009</v>
      </c>
      <c r="I23" s="13">
        <v>2010</v>
      </c>
      <c r="J23" s="13">
        <v>2011</v>
      </c>
      <c r="K23" s="13">
        <v>2012</v>
      </c>
      <c r="L23" s="13">
        <v>2013</v>
      </c>
      <c r="M23" s="13">
        <v>2014</v>
      </c>
      <c r="N23" s="13">
        <v>2015</v>
      </c>
      <c r="O23" s="13">
        <v>2016</v>
      </c>
      <c r="P23" s="13">
        <v>2017</v>
      </c>
      <c r="Q23" s="13">
        <v>2018</v>
      </c>
      <c r="R23" s="14">
        <v>2019</v>
      </c>
      <c r="S23" s="14">
        <v>2020</v>
      </c>
      <c r="T23" s="14">
        <v>2021</v>
      </c>
      <c r="U23" s="14">
        <v>2022</v>
      </c>
      <c r="V23" s="14">
        <v>2023</v>
      </c>
    </row>
    <row r="24" spans="2:22" ht="15.75" customHeight="1">
      <c r="B24" s="24"/>
      <c r="C24" s="16"/>
      <c r="D24" s="24">
        <f>D12*' degree of utilization'!C25*D16</f>
        <v>1075159.2182410378</v>
      </c>
      <c r="E24" s="24">
        <f>E12*' degree of utilization'!D25*E16</f>
        <v>1125725.2244210355</v>
      </c>
      <c r="F24" s="24">
        <f>F12*' degree of utilization'!E25*F16</f>
        <v>1178377.4370895021</v>
      </c>
      <c r="G24" s="24">
        <f>G12*' degree of utilization'!F25*G16</f>
        <v>1233302.8720687693</v>
      </c>
      <c r="H24" s="24">
        <f>H12*' degree of utilization'!G25*H16</f>
        <v>1290480.5932411149</v>
      </c>
      <c r="I24" s="24">
        <f>I12*' degree of utilization'!H25*I16</f>
        <v>1349954.5153504752</v>
      </c>
      <c r="J24" s="24">
        <f>J12*' degree of utilization'!I25*J16</f>
        <v>1364508.7620517313</v>
      </c>
      <c r="K24" s="24">
        <f>K12*' degree of utilization'!J25*K16</f>
        <v>1426793.7354117807</v>
      </c>
      <c r="L24" s="24">
        <f>L12*' degree of utilization'!K25*L16</f>
        <v>1491807.6797742585</v>
      </c>
      <c r="M24" s="24">
        <f>M12*' degree of utilization'!L25*M16</f>
        <v>1559709.6514329147</v>
      </c>
      <c r="N24" s="24">
        <f>N12*' degree of utilization'!M25*N16</f>
        <v>1630673.0204132444</v>
      </c>
      <c r="O24" s="24">
        <f>O12*' degree of utilization'!N25*O16</f>
        <v>1641783.476003062</v>
      </c>
      <c r="P24" s="24">
        <f>P12*' degree of utilization'!O25*P16</f>
        <v>1650472.422041253</v>
      </c>
      <c r="Q24" s="24">
        <f>Q12*' degree of utilization'!P25*Q16</f>
        <v>1659113.8875000002</v>
      </c>
      <c r="R24" s="24">
        <f>R12*' degree of utilization'!Q25*R16</f>
        <v>1667755.3529587472</v>
      </c>
      <c r="S24" s="24">
        <f>S12*' degree of utilization'!R25*S16</f>
        <v>1676396.8184174944</v>
      </c>
      <c r="T24" s="24">
        <f>T12*' degree of utilization'!S25*T16</f>
        <v>1685038.2838762414</v>
      </c>
      <c r="U24" s="24">
        <f>U12*' degree of utilization'!T25*U16</f>
        <v>1691875.4873161293</v>
      </c>
      <c r="V24" s="24">
        <f>V12*' degree of utilization'!U25*V16</f>
        <v>1698665.2101765734</v>
      </c>
    </row>
    <row r="25" spans="2:22" ht="15.75" customHeight="1">
      <c r="B25" s="22"/>
      <c r="C25" s="19"/>
      <c r="D25" s="34"/>
      <c r="E25" s="34"/>
      <c r="F25" s="34"/>
      <c r="G25" s="34"/>
      <c r="H25" s="34"/>
      <c r="I25" s="34"/>
      <c r="J25" s="34"/>
      <c r="K25" s="34"/>
      <c r="L25" s="34"/>
      <c r="M25" s="34"/>
      <c r="N25" s="34"/>
      <c r="O25" s="34"/>
      <c r="P25" s="34"/>
      <c r="Q25" s="34"/>
      <c r="R25" s="34"/>
      <c r="S25" s="34"/>
      <c r="T25" s="34"/>
      <c r="U25" s="34"/>
      <c r="V25" s="34"/>
    </row>
    <row r="26" spans="2:22" ht="15.75" customHeight="1">
      <c r="B26" s="22"/>
      <c r="C26" s="19"/>
      <c r="D26" s="19"/>
      <c r="E26" s="19"/>
      <c r="F26" s="22"/>
      <c r="G26" s="22"/>
      <c r="H26" s="22"/>
      <c r="I26" s="22"/>
      <c r="J26" s="22"/>
      <c r="K26" s="22"/>
      <c r="L26" s="22"/>
      <c r="M26" s="22"/>
      <c r="N26" s="22"/>
      <c r="O26" s="35"/>
      <c r="P26" s="35"/>
      <c r="Q26" s="35"/>
    </row>
    <row r="27" spans="2:22" ht="15.75" customHeight="1">
      <c r="B27" s="12" t="s">
        <v>73</v>
      </c>
      <c r="C27" s="12" t="s">
        <v>69</v>
      </c>
      <c r="D27" s="13">
        <v>2005</v>
      </c>
      <c r="E27" s="13">
        <v>2006</v>
      </c>
      <c r="F27" s="13">
        <v>2007</v>
      </c>
      <c r="G27" s="13">
        <v>2008</v>
      </c>
      <c r="H27" s="13">
        <v>2009</v>
      </c>
      <c r="I27" s="13">
        <v>2010</v>
      </c>
      <c r="J27" s="13">
        <v>2011</v>
      </c>
      <c r="K27" s="13">
        <v>2012</v>
      </c>
      <c r="L27" s="13">
        <v>2013</v>
      </c>
      <c r="M27" s="13">
        <v>2014</v>
      </c>
      <c r="N27" s="13">
        <v>2015</v>
      </c>
      <c r="O27" s="13">
        <v>2016</v>
      </c>
      <c r="P27" s="13">
        <v>2017</v>
      </c>
      <c r="Q27" s="13">
        <v>2018</v>
      </c>
      <c r="R27" s="14">
        <v>2019</v>
      </c>
      <c r="S27" s="14">
        <v>2020</v>
      </c>
      <c r="T27" s="14">
        <v>2021</v>
      </c>
      <c r="U27" s="14">
        <v>2022</v>
      </c>
      <c r="V27" s="14">
        <v>2023</v>
      </c>
    </row>
    <row r="28" spans="2:22" ht="15.75" customHeight="1">
      <c r="B28" s="24"/>
      <c r="C28" s="16"/>
      <c r="D28" s="36">
        <f>D12*D20*(1-' degree of utilization'!C25)</f>
        <v>486799765.12540716</v>
      </c>
      <c r="E28" s="36">
        <f>E12*E20*(1-' degree of utilization'!D25)</f>
        <v>490839282.32046318</v>
      </c>
      <c r="F28" s="36">
        <f>F12*F20*(1-' degree of utilization'!E25)</f>
        <v>494788435.55032843</v>
      </c>
      <c r="G28" s="36">
        <f>G12*G20*(1-' degree of utilization'!F25)</f>
        <v>498691422.70234495</v>
      </c>
      <c r="H28" s="36">
        <f>H12*H20*(1-' degree of utilization'!G25)</f>
        <v>502503913.02540708</v>
      </c>
      <c r="I28" s="36">
        <f>I12*I20*(1-' degree of utilization'!H25)</f>
        <v>506211088.88771957</v>
      </c>
      <c r="J28" s="36">
        <f>J12*J20*(1-' degree of utilization'!I25)</f>
        <v>492733489.72285867</v>
      </c>
      <c r="K28" s="36">
        <f>K12*K20*(1-' degree of utilization'!J25)</f>
        <v>496156647.51167059</v>
      </c>
      <c r="L28" s="36">
        <f>L12*L20*(1-' degree of utilization'!K25)</f>
        <v>499563741.35618061</v>
      </c>
      <c r="M28" s="36">
        <f>M12*M20*(1-' degree of utilization'!L25)</f>
        <v>502968524.77885371</v>
      </c>
      <c r="N28" s="36">
        <f>N12*N20*(1-' degree of utilization'!M25)</f>
        <v>506385641.58366942</v>
      </c>
      <c r="O28" s="36">
        <f>O12*O20*(1-' degree of utilization'!N25)</f>
        <v>509835858.21919757</v>
      </c>
      <c r="P28" s="36">
        <f>P12*P20*(1-' degree of utilization'!O25)</f>
        <v>512534104.56236702</v>
      </c>
      <c r="Q28" s="36">
        <f>Q12*Q20*(1-' degree of utilization'!P25)</f>
        <v>515217606.39000005</v>
      </c>
      <c r="R28" s="36">
        <f>R12*R20*(1-' degree of utilization'!Q25)</f>
        <v>517901108.21763301</v>
      </c>
      <c r="S28" s="36">
        <f>S12*S20*(1-' degree of utilization'!R25)</f>
        <v>520584610.04526603</v>
      </c>
      <c r="T28" s="36">
        <f>T12*T20*(1-' degree of utilization'!S25)</f>
        <v>523268111.872899</v>
      </c>
      <c r="U28" s="36">
        <f>U12*U20*(1-' degree of utilization'!T25)</f>
        <v>525391322.11014712</v>
      </c>
      <c r="V28" s="36">
        <f>V12*V20*(1-' degree of utilization'!U25)</f>
        <v>527499787.83185875</v>
      </c>
    </row>
    <row r="29" spans="2:22" ht="15.75" customHeight="1"/>
    <row r="30" spans="2:22" ht="15.75" customHeight="1"/>
    <row r="31" spans="2:22" ht="15.75" customHeight="1">
      <c r="B31" s="37" t="s">
        <v>74</v>
      </c>
      <c r="C31" s="38"/>
    </row>
    <row r="32" spans="2:22" ht="15.75" customHeight="1">
      <c r="B32" s="39">
        <v>0.6</v>
      </c>
      <c r="C32" s="40" t="s">
        <v>75</v>
      </c>
    </row>
    <row r="33" spans="2:3" ht="15.75" customHeight="1">
      <c r="B33" s="22"/>
      <c r="C33" s="22"/>
    </row>
    <row r="34" spans="2:3" ht="15.75" customHeight="1">
      <c r="B34" s="666" t="s">
        <v>76</v>
      </c>
      <c r="C34" s="667"/>
    </row>
    <row r="35" spans="2:3" ht="15.75" customHeight="1">
      <c r="B35" s="39">
        <v>0</v>
      </c>
      <c r="C35" s="40" t="s">
        <v>77</v>
      </c>
    </row>
    <row r="36" spans="2:3" ht="15.75" customHeight="1">
      <c r="B36" s="25"/>
      <c r="C36" s="22"/>
    </row>
    <row r="37" spans="2:3" ht="15.75" customHeight="1">
      <c r="B37" s="41" t="s">
        <v>78</v>
      </c>
      <c r="C37" s="42"/>
    </row>
    <row r="38" spans="2:3" ht="15.75" customHeight="1">
      <c r="B38" s="43" t="s">
        <v>79</v>
      </c>
      <c r="C38" s="38" t="s">
        <v>80</v>
      </c>
    </row>
    <row r="39" spans="2:3" ht="15.75" customHeight="1">
      <c r="B39" s="44" t="s">
        <v>81</v>
      </c>
      <c r="C39" s="45">
        <v>0.8</v>
      </c>
    </row>
    <row r="40" spans="2:3" ht="15.75" customHeight="1">
      <c r="B40" s="46" t="s">
        <v>82</v>
      </c>
      <c r="C40" s="47">
        <v>0.3</v>
      </c>
    </row>
    <row r="41" spans="2:3" ht="15.75" customHeight="1">
      <c r="B41" s="46" t="s">
        <v>83</v>
      </c>
      <c r="C41" s="47">
        <v>0</v>
      </c>
    </row>
    <row r="42" spans="2:3" ht="15.75" customHeight="1">
      <c r="B42" s="46" t="s">
        <v>84</v>
      </c>
      <c r="C42" s="47">
        <v>0.5</v>
      </c>
    </row>
    <row r="43" spans="2:3" ht="15.75" customHeight="1">
      <c r="B43" s="46" t="s">
        <v>85</v>
      </c>
      <c r="C43" s="47">
        <v>0.1</v>
      </c>
    </row>
    <row r="44" spans="2:3" ht="15.75" customHeight="1">
      <c r="B44" s="46" t="s">
        <v>86</v>
      </c>
      <c r="C44" s="47">
        <v>0</v>
      </c>
    </row>
    <row r="45" spans="2:3" ht="15.75" customHeight="1">
      <c r="B45" s="46" t="s">
        <v>87</v>
      </c>
      <c r="C45" s="47">
        <v>0.5</v>
      </c>
    </row>
    <row r="46" spans="2:3" ht="15.75" customHeight="1">
      <c r="B46" s="48" t="s">
        <v>88</v>
      </c>
      <c r="C46" s="49">
        <v>0.5</v>
      </c>
    </row>
    <row r="47" spans="2:3" ht="15.75" customHeight="1">
      <c r="B47" s="50" t="s">
        <v>89</v>
      </c>
      <c r="C47" s="51">
        <v>0.1</v>
      </c>
    </row>
    <row r="48" spans="2:3" ht="15.75" customHeight="1"/>
    <row r="49" spans="2:23" ht="15.75" customHeight="1">
      <c r="B49" s="668" t="s">
        <v>90</v>
      </c>
      <c r="C49" s="669"/>
      <c r="D49" s="670"/>
      <c r="E49" s="670"/>
      <c r="F49" s="670"/>
      <c r="G49" s="670"/>
      <c r="H49" s="670"/>
      <c r="I49" s="670"/>
      <c r="J49" s="670"/>
      <c r="K49" s="670"/>
      <c r="L49" s="670"/>
      <c r="M49" s="670"/>
      <c r="N49" s="670"/>
      <c r="O49" s="227"/>
      <c r="P49" s="227"/>
      <c r="Q49" s="227"/>
      <c r="R49" s="227"/>
      <c r="S49" s="227"/>
      <c r="T49" s="227"/>
      <c r="U49" s="227"/>
      <c r="V49" s="227"/>
    </row>
    <row r="50" spans="2:23" ht="15.75" customHeight="1">
      <c r="B50" s="35"/>
      <c r="C50" s="225" t="s">
        <v>91</v>
      </c>
      <c r="D50" s="221">
        <v>2005</v>
      </c>
      <c r="E50" s="53">
        <v>2006</v>
      </c>
      <c r="F50" s="14">
        <v>2007</v>
      </c>
      <c r="G50" s="14">
        <v>2008</v>
      </c>
      <c r="H50" s="14">
        <v>2009</v>
      </c>
      <c r="I50" s="14">
        <v>2010</v>
      </c>
      <c r="J50" s="14">
        <v>2011</v>
      </c>
      <c r="K50" s="14">
        <v>2012</v>
      </c>
      <c r="L50" s="14">
        <v>2013</v>
      </c>
      <c r="M50" s="14">
        <v>2014</v>
      </c>
      <c r="N50" s="231">
        <v>2015</v>
      </c>
      <c r="O50" s="233">
        <v>2016</v>
      </c>
      <c r="P50" s="233">
        <v>2017</v>
      </c>
      <c r="Q50" s="233">
        <v>2018</v>
      </c>
      <c r="R50" s="233">
        <v>2019</v>
      </c>
      <c r="S50" s="233">
        <v>2020</v>
      </c>
      <c r="T50" s="233">
        <v>2021</v>
      </c>
      <c r="U50" s="233">
        <v>2022</v>
      </c>
      <c r="V50" s="233">
        <v>2023</v>
      </c>
    </row>
    <row r="51" spans="2:23" ht="15.75" customHeight="1">
      <c r="B51" s="21"/>
      <c r="C51" s="226" t="s">
        <v>92</v>
      </c>
      <c r="D51" s="222">
        <f>' degree of utilization'!C23</f>
        <v>0.29430799026039939</v>
      </c>
      <c r="E51" s="54">
        <f>' degree of utilization'!D23</f>
        <v>0.28909541129789385</v>
      </c>
      <c r="F51" s="54">
        <f>' degree of utilization'!E23</f>
        <v>0.28397515391801442</v>
      </c>
      <c r="G51" s="54">
        <f>' degree of utilization'!F23</f>
        <v>0.27894558298493299</v>
      </c>
      <c r="H51" s="54">
        <f>' degree of utilization'!G23</f>
        <v>0.27400509232321291</v>
      </c>
      <c r="I51" s="54">
        <f>' degree of utilization'!H23</f>
        <v>0.26915210420488267</v>
      </c>
      <c r="J51" s="54">
        <f>' degree of utilization'!I23</f>
        <v>0.26438506884559415</v>
      </c>
      <c r="K51" s="54">
        <f>' degree of utilization'!J23</f>
        <v>0.25970246390970447</v>
      </c>
      <c r="L51" s="54">
        <f>' degree of utilization'!K23</f>
        <v>0.25510279402412361</v>
      </c>
      <c r="M51" s="54">
        <f>' degree of utilization'!L23</f>
        <v>0.25058459030077246</v>
      </c>
      <c r="N51" s="232">
        <f>' degree of utilization'!M23</f>
        <v>0.2461464098674985</v>
      </c>
      <c r="O51" s="227"/>
      <c r="P51" s="227"/>
      <c r="Q51" s="227"/>
      <c r="R51" s="227"/>
      <c r="S51" s="227"/>
      <c r="T51" s="227"/>
      <c r="U51" s="227"/>
      <c r="V51" s="227"/>
    </row>
    <row r="52" spans="2:23" ht="15.75" customHeight="1">
      <c r="B52" s="220"/>
      <c r="C52" s="226" t="s">
        <v>93</v>
      </c>
      <c r="D52" s="222">
        <f>' degree of utilization'!C24</f>
        <v>0.68612847068277938</v>
      </c>
      <c r="E52" s="54">
        <f>' degree of utilization'!D24</f>
        <v>0.69138736465348394</v>
      </c>
      <c r="F52" s="54">
        <f>' degree of utilization'!E24</f>
        <v>0.69668656589458577</v>
      </c>
      <c r="G52" s="54">
        <f>' degree of utilization'!F24</f>
        <v>0.70202638334481915</v>
      </c>
      <c r="H52" s="54">
        <f>' degree of utilization'!G24</f>
        <v>0.70740712831080732</v>
      </c>
      <c r="I52" s="54">
        <f>' degree of utilization'!H24</f>
        <v>0.71282911448521147</v>
      </c>
      <c r="J52" s="54">
        <f>' degree of utilization'!I24</f>
        <v>0.71829265796501851</v>
      </c>
      <c r="K52" s="54">
        <f>' degree of utilization'!J24</f>
        <v>0.72379807726996959</v>
      </c>
      <c r="L52" s="54">
        <f>' degree of utilization'!K24</f>
        <v>0.7293456933611292</v>
      </c>
      <c r="M52" s="54">
        <f>' degree of utilization'!L24</f>
        <v>0.73493582965959725</v>
      </c>
      <c r="N52" s="232">
        <f>' degree of utilization'!M24</f>
        <v>0.74056881206536362</v>
      </c>
      <c r="O52" s="227"/>
      <c r="P52" s="227"/>
      <c r="Q52" s="227"/>
      <c r="R52" s="227"/>
      <c r="S52" s="227"/>
      <c r="T52" s="227"/>
      <c r="U52" s="227"/>
      <c r="V52" s="227"/>
    </row>
    <row r="53" spans="2:23" ht="15.75" customHeight="1">
      <c r="B53" s="220"/>
      <c r="C53" s="226" t="s">
        <v>94</v>
      </c>
      <c r="D53" s="222">
        <f>' degree of utilization'!C25</f>
        <v>1.7637853508587038E-3</v>
      </c>
      <c r="E53" s="54">
        <f>' degree of utilization'!D25</f>
        <v>1.8314158525979342E-3</v>
      </c>
      <c r="F53" s="54">
        <f>' degree of utilization'!E25</f>
        <v>1.9016395750843906E-3</v>
      </c>
      <c r="G53" s="54">
        <f>' degree of utilization'!F25</f>
        <v>1.9745559526512645E-3</v>
      </c>
      <c r="H53" s="54">
        <f>' degree of utilization'!G25</f>
        <v>2.0502682323370975E-3</v>
      </c>
      <c r="I53" s="54">
        <f>' degree of utilization'!H25</f>
        <v>2.1288836200799742E-3</v>
      </c>
      <c r="J53" s="54">
        <f>' degree of utilization'!I25</f>
        <v>2.2105134325173786E-3</v>
      </c>
      <c r="K53" s="54">
        <f>' degree of utilization'!J25</f>
        <v>2.2952732546066565E-3</v>
      </c>
      <c r="L53" s="54">
        <f>' degree of utilization'!K25</f>
        <v>2.3832831032892699E-3</v>
      </c>
      <c r="M53" s="54">
        <f>' degree of utilization'!L25</f>
        <v>2.474667597430584E-3</v>
      </c>
      <c r="N53" s="232">
        <f>' degree of utilization'!M25</f>
        <v>2.5695561342758207E-3</v>
      </c>
      <c r="O53" s="234">
        <f>' degree of utilization'!N25</f>
        <v>2.5695561342758207E-3</v>
      </c>
      <c r="P53" s="234">
        <f>' degree of utilization'!O25</f>
        <v>2.5695561342758207E-3</v>
      </c>
      <c r="Q53" s="234">
        <f>' degree of utilization'!P25</f>
        <v>2.5695561342758207E-3</v>
      </c>
      <c r="R53" s="234">
        <f>' degree of utilization'!Q25</f>
        <v>2.5695561342758207E-3</v>
      </c>
      <c r="S53" s="234">
        <f>' degree of utilization'!R25</f>
        <v>2.5695561342758207E-3</v>
      </c>
      <c r="T53" s="234">
        <f>' degree of utilization'!S25</f>
        <v>2.5695561342758207E-3</v>
      </c>
      <c r="U53" s="234">
        <f>' degree of utilization'!T25</f>
        <v>2.5695561342758207E-3</v>
      </c>
      <c r="V53" s="234">
        <f>' degree of utilization'!U25</f>
        <v>2.5695561342758207E-3</v>
      </c>
      <c r="W53" s="235"/>
    </row>
    <row r="54" spans="2:23" ht="15.75" customHeight="1">
      <c r="B54" s="220"/>
      <c r="C54" s="226" t="s">
        <v>95</v>
      </c>
      <c r="D54" s="222">
        <f>' degree of utilization'!C26</f>
        <v>1.7799753705962422E-2</v>
      </c>
      <c r="E54" s="54">
        <f>' degree of utilization'!D26</f>
        <v>1.691892287901723E-2</v>
      </c>
      <c r="F54" s="54">
        <f>' degree of utilization'!E26</f>
        <v>1.6081680461131714E-2</v>
      </c>
      <c r="G54" s="54">
        <f>' degree of utilization'!F26</f>
        <v>1.528586945535909E-2</v>
      </c>
      <c r="H54" s="54">
        <f>' degree of utilization'!G26</f>
        <v>1.4529439604960091E-2</v>
      </c>
      <c r="I54" s="54">
        <f>' degree of utilization'!H26</f>
        <v>1.3810442111303747E-2</v>
      </c>
      <c r="J54" s="54">
        <f>' degree of utilization'!I26</f>
        <v>1.3127024613155807E-2</v>
      </c>
      <c r="K54" s="54">
        <f>' degree of utilization'!J26</f>
        <v>1.2477426414419904E-2</v>
      </c>
      <c r="L54" s="54">
        <f>' degree of utilization'!K26</f>
        <v>1.1859973948036635E-2</v>
      </c>
      <c r="M54" s="54">
        <f>' degree of utilization'!L26</f>
        <v>1.1273076464354138E-2</v>
      </c>
      <c r="N54" s="232">
        <f>' degree of utilization'!M26</f>
        <v>1.071522193286209E-2</v>
      </c>
      <c r="O54" s="227"/>
      <c r="P54" s="227"/>
      <c r="Q54" s="227"/>
      <c r="R54" s="227"/>
      <c r="S54" s="227"/>
      <c r="T54" s="227"/>
      <c r="U54" s="227"/>
      <c r="V54" s="227"/>
    </row>
    <row r="55" spans="2:23" ht="15.75" customHeight="1">
      <c r="B55" s="55"/>
      <c r="C55" s="227"/>
      <c r="N55" s="56" t="s">
        <v>96</v>
      </c>
    </row>
    <row r="56" spans="2:23" ht="15.75" customHeight="1">
      <c r="C56" s="227"/>
    </row>
    <row r="57" spans="2:23" ht="15.75" customHeight="1">
      <c r="B57" s="35"/>
      <c r="C57" s="228" t="s">
        <v>97</v>
      </c>
      <c r="D57" s="221">
        <v>2005</v>
      </c>
      <c r="E57" s="53">
        <v>2006</v>
      </c>
      <c r="F57" s="14">
        <v>2007</v>
      </c>
      <c r="G57" s="14">
        <v>2008</v>
      </c>
      <c r="H57" s="14">
        <v>2009</v>
      </c>
      <c r="I57" s="14">
        <v>2010</v>
      </c>
      <c r="J57" s="14">
        <v>2011</v>
      </c>
      <c r="K57" s="14">
        <v>2012</v>
      </c>
      <c r="L57" s="14">
        <v>2013</v>
      </c>
      <c r="M57" s="14">
        <v>2014</v>
      </c>
      <c r="N57" s="14">
        <v>2015</v>
      </c>
      <c r="O57" s="14">
        <v>2016</v>
      </c>
      <c r="P57" s="14">
        <v>2017</v>
      </c>
      <c r="Q57" s="14">
        <v>2018</v>
      </c>
      <c r="R57" s="14">
        <v>2019</v>
      </c>
      <c r="S57" s="14">
        <v>2020</v>
      </c>
      <c r="T57" s="14">
        <v>2021</v>
      </c>
      <c r="U57" s="14">
        <v>2022</v>
      </c>
      <c r="V57" s="14">
        <v>2023</v>
      </c>
    </row>
    <row r="58" spans="2:23" ht="15.75" customHeight="1">
      <c r="B58" s="35"/>
      <c r="C58" s="229" t="s">
        <v>98</v>
      </c>
      <c r="D58" s="223">
        <f>D53*'STP status'!$F$5</f>
        <v>0</v>
      </c>
      <c r="E58" s="57">
        <f>E53*'STP status'!$F$5</f>
        <v>0</v>
      </c>
      <c r="F58" s="57">
        <f>F53*'STP status'!$F$5</f>
        <v>0</v>
      </c>
      <c r="G58" s="57">
        <f>G53*'STP status'!$I$5</f>
        <v>0</v>
      </c>
      <c r="H58" s="57">
        <f>H53*'STP status'!$I$5</f>
        <v>0</v>
      </c>
      <c r="I58" s="57">
        <f>I53*'STP status'!$I$5</f>
        <v>0</v>
      </c>
      <c r="J58" s="57">
        <f>J53*'STP status'!$L$5</f>
        <v>0</v>
      </c>
      <c r="K58" s="57">
        <f>K53*'STP status'!$L$5</f>
        <v>0</v>
      </c>
      <c r="L58" s="57">
        <f>L53*'STP status'!$L$5</f>
        <v>0</v>
      </c>
      <c r="M58" s="57">
        <f>M53*'STP status'!$L$5</f>
        <v>0</v>
      </c>
      <c r="N58" s="57">
        <f>N53*'STP status'!$L$5</f>
        <v>0</v>
      </c>
      <c r="O58" s="57">
        <f>O53*'STP status'!$O$5</f>
        <v>0</v>
      </c>
      <c r="P58" s="57">
        <f>P53*'STP status'!$O$5</f>
        <v>0</v>
      </c>
      <c r="Q58" s="57">
        <f>Q53*'STP status'!$O$5</f>
        <v>0</v>
      </c>
      <c r="R58" s="57">
        <f>R53*'STP status'!$O$5</f>
        <v>0</v>
      </c>
      <c r="S58" s="57">
        <f>S53*'STP status'!$O$5</f>
        <v>0</v>
      </c>
      <c r="T58" s="57">
        <f>T53*'STP status'!$O$5</f>
        <v>0</v>
      </c>
      <c r="U58" s="57">
        <f>U53*'STP status'!$O$5</f>
        <v>0</v>
      </c>
      <c r="V58" s="57">
        <f>V53*'STP status'!$O$5</f>
        <v>0</v>
      </c>
    </row>
    <row r="59" spans="2:23" ht="15.75" customHeight="1">
      <c r="B59" s="35"/>
      <c r="C59" s="229" t="s">
        <v>99</v>
      </c>
      <c r="D59" s="223">
        <f>(D53-D58)*'STP status'!$E$5</f>
        <v>0</v>
      </c>
      <c r="E59" s="57">
        <f>(E53-E58)*'STP status'!$E$5</f>
        <v>0</v>
      </c>
      <c r="F59" s="57">
        <f>(F53-F58)*'STP status'!$E$5</f>
        <v>0</v>
      </c>
      <c r="G59" s="57">
        <f>(G53-G58)*'STP status'!$H$5</f>
        <v>0</v>
      </c>
      <c r="H59" s="57">
        <f>(H53-H58)*'STP status'!$H$5</f>
        <v>0</v>
      </c>
      <c r="I59" s="57">
        <f>(I53-I58)*'STP status'!$H$5</f>
        <v>0</v>
      </c>
      <c r="J59" s="57">
        <f>(J53-J58)*'STP status'!$K$5</f>
        <v>0</v>
      </c>
      <c r="K59" s="57">
        <f>(K53-K58)*'STP status'!$K$5</f>
        <v>0</v>
      </c>
      <c r="L59" s="57">
        <f>(L53-L58)*'STP status'!$K$5</f>
        <v>0</v>
      </c>
      <c r="M59" s="57">
        <f>(M53-M58)*'STP status'!$K$5</f>
        <v>0</v>
      </c>
      <c r="N59" s="57">
        <f>(N53-N58)*'STP status'!$K$5</f>
        <v>0</v>
      </c>
      <c r="O59" s="57">
        <f>(O53-O58)*'STP status'!$N$5</f>
        <v>0</v>
      </c>
      <c r="P59" s="57">
        <f>(P53-P58)*'STP status'!$N$5</f>
        <v>0</v>
      </c>
      <c r="Q59" s="57">
        <f>(Q53-Q58)*'STP status'!$N$5</f>
        <v>0</v>
      </c>
      <c r="R59" s="57">
        <f>(R53-R58)*'STP status'!$N$5</f>
        <v>0</v>
      </c>
      <c r="S59" s="57">
        <f>(S53-S58)*'STP status'!$N$5</f>
        <v>0</v>
      </c>
      <c r="T59" s="57">
        <f>(T53-T58)*'STP status'!$N$5</f>
        <v>0</v>
      </c>
      <c r="U59" s="57">
        <f>(U53-U58)*'STP status'!$N$5</f>
        <v>0</v>
      </c>
      <c r="V59" s="57">
        <f>(V53-V58)*'STP status'!$N$5</f>
        <v>0</v>
      </c>
    </row>
    <row r="60" spans="2:23" ht="15.75" customHeight="1">
      <c r="B60" s="35"/>
      <c r="C60" s="230" t="s">
        <v>100</v>
      </c>
      <c r="D60" s="224">
        <f>(D53-D58)*'STP status'!$D$5</f>
        <v>1.7637853508587038E-3</v>
      </c>
      <c r="E60" s="59">
        <f>(E53-E58)*'STP status'!$D$5</f>
        <v>1.8314158525979342E-3</v>
      </c>
      <c r="F60" s="59">
        <f>(F53-F58)*'STP status'!$D$5</f>
        <v>1.9016395750843906E-3</v>
      </c>
      <c r="G60" s="59">
        <f>(G53-G58)*'STP status'!$G$5</f>
        <v>1.9745559526512645E-3</v>
      </c>
      <c r="H60" s="59">
        <f>(H53-H58)*'STP status'!$G$5</f>
        <v>2.0502682323370975E-3</v>
      </c>
      <c r="I60" s="59">
        <f>(I53-I58)*'STP status'!$G$5</f>
        <v>2.1288836200799742E-3</v>
      </c>
      <c r="J60" s="59">
        <f>(J53-J58)*'STP status'!$J$5</f>
        <v>2.2105134325173786E-3</v>
      </c>
      <c r="K60" s="59">
        <f>(K53-K58)*'STP status'!$J$5</f>
        <v>2.2952732546066565E-3</v>
      </c>
      <c r="L60" s="59">
        <f>(L53-L58)*'STP status'!$J$5</f>
        <v>2.3832831032892699E-3</v>
      </c>
      <c r="M60" s="59">
        <f>(M53-M58)*'STP status'!$J$5</f>
        <v>2.474667597430584E-3</v>
      </c>
      <c r="N60" s="59">
        <f>(N53-N58)*'STP status'!$J$5</f>
        <v>2.5695561342758207E-3</v>
      </c>
      <c r="O60" s="59">
        <f>(O53-O58)*'STP status'!$M$5</f>
        <v>2.5695561342758207E-3</v>
      </c>
      <c r="P60" s="59">
        <f>(P53-P58)*'STP status'!$M$5</f>
        <v>2.5695561342758207E-3</v>
      </c>
      <c r="Q60" s="59">
        <f>(Q53-Q58)*'STP status'!$M$5</f>
        <v>2.5695561342758207E-3</v>
      </c>
      <c r="R60" s="59">
        <f>(R53-R58)*'STP status'!$M$5</f>
        <v>2.5695561342758207E-3</v>
      </c>
      <c r="S60" s="59">
        <f>(S53-S58)*'STP status'!$M$5</f>
        <v>2.5695561342758207E-3</v>
      </c>
      <c r="T60" s="59">
        <f>(T53-T58)*'STP status'!$M$5</f>
        <v>2.5695561342758207E-3</v>
      </c>
      <c r="U60" s="59">
        <f>(U53-U58)*'STP status'!$M$5</f>
        <v>2.5695561342758207E-3</v>
      </c>
      <c r="V60" s="59">
        <f>(V53-V58)*'STP status'!$M$5</f>
        <v>2.5695561342758207E-3</v>
      </c>
    </row>
    <row r="61" spans="2:23" ht="15.75" customHeight="1">
      <c r="B61" s="55"/>
    </row>
    <row r="62" spans="2:23" ht="15.75" customHeight="1">
      <c r="B62" s="55"/>
    </row>
    <row r="63" spans="2:23" ht="15.75" customHeight="1">
      <c r="B63" s="55" t="s">
        <v>101</v>
      </c>
    </row>
    <row r="64" spans="2:23" ht="15.75" customHeight="1">
      <c r="B64" s="60">
        <v>2005</v>
      </c>
      <c r="C64" s="52">
        <v>2006</v>
      </c>
      <c r="D64" s="61">
        <v>2007</v>
      </c>
      <c r="E64" s="14">
        <v>2008</v>
      </c>
      <c r="F64" s="14">
        <v>2009</v>
      </c>
      <c r="G64" s="14">
        <v>2010</v>
      </c>
      <c r="H64" s="14">
        <v>2011</v>
      </c>
      <c r="I64" s="14">
        <v>2012</v>
      </c>
      <c r="J64" s="14">
        <v>2013</v>
      </c>
      <c r="K64" s="14">
        <v>2014</v>
      </c>
      <c r="L64" s="14">
        <v>2015</v>
      </c>
      <c r="M64" s="14">
        <v>2016</v>
      </c>
      <c r="N64" s="14">
        <v>2017</v>
      </c>
      <c r="O64" s="14">
        <v>2018</v>
      </c>
      <c r="P64" s="14">
        <v>2019</v>
      </c>
      <c r="Q64" s="14">
        <v>2020</v>
      </c>
      <c r="R64" s="14">
        <v>2021</v>
      </c>
      <c r="S64" s="62">
        <v>2022</v>
      </c>
      <c r="T64" s="62">
        <v>2023</v>
      </c>
    </row>
    <row r="65" spans="2:24" ht="15.75" customHeight="1">
      <c r="B65" s="63">
        <v>1</v>
      </c>
      <c r="C65" s="63">
        <v>1</v>
      </c>
      <c r="D65" s="63">
        <v>1</v>
      </c>
      <c r="E65" s="63">
        <v>1</v>
      </c>
      <c r="F65" s="63">
        <v>1</v>
      </c>
      <c r="G65" s="63">
        <v>1</v>
      </c>
      <c r="H65" s="63">
        <v>1</v>
      </c>
      <c r="I65" s="63">
        <v>1</v>
      </c>
      <c r="J65" s="63">
        <v>1</v>
      </c>
      <c r="K65" s="63">
        <v>1</v>
      </c>
      <c r="L65" s="63">
        <v>1</v>
      </c>
      <c r="M65" s="63">
        <v>1</v>
      </c>
      <c r="N65" s="63">
        <v>1</v>
      </c>
      <c r="O65" s="63">
        <v>1</v>
      </c>
      <c r="P65" s="63">
        <v>1</v>
      </c>
      <c r="Q65" s="63">
        <v>1</v>
      </c>
      <c r="R65" s="63">
        <v>1</v>
      </c>
      <c r="S65" s="63">
        <v>1</v>
      </c>
      <c r="T65" s="63">
        <v>1</v>
      </c>
    </row>
    <row r="66" spans="2:24" ht="15.75" customHeight="1">
      <c r="C66" s="64"/>
    </row>
    <row r="67" spans="2:24" ht="15.75" customHeight="1">
      <c r="B67" s="671" t="s">
        <v>102</v>
      </c>
      <c r="C67" s="672"/>
      <c r="D67" s="16"/>
      <c r="E67" s="237"/>
      <c r="F67" s="237"/>
      <c r="G67" s="238"/>
      <c r="H67" s="238"/>
      <c r="I67" s="238"/>
      <c r="J67" s="238"/>
      <c r="K67" s="238"/>
      <c r="L67" s="238"/>
      <c r="M67" s="238"/>
      <c r="N67" s="238"/>
      <c r="O67" s="238"/>
      <c r="P67" s="239"/>
      <c r="Q67" s="239"/>
      <c r="R67" s="239"/>
      <c r="S67" s="239"/>
      <c r="T67" s="240"/>
      <c r="U67" s="236"/>
      <c r="V67" s="236"/>
      <c r="W67" s="236"/>
      <c r="X67" s="22"/>
    </row>
    <row r="68" spans="2:24" ht="15.75" customHeight="1">
      <c r="B68" s="673"/>
      <c r="C68" s="674" t="s">
        <v>97</v>
      </c>
      <c r="D68" s="675" t="s">
        <v>103</v>
      </c>
      <c r="E68" s="676" t="s">
        <v>104</v>
      </c>
      <c r="F68" s="676"/>
      <c r="G68" s="676"/>
      <c r="H68" s="676"/>
      <c r="I68" s="676"/>
      <c r="J68" s="676"/>
      <c r="K68" s="676"/>
      <c r="L68" s="676"/>
      <c r="M68" s="676"/>
      <c r="N68" s="676"/>
      <c r="O68" s="676"/>
      <c r="P68" s="676"/>
      <c r="Q68" s="676"/>
      <c r="R68" s="676"/>
      <c r="S68" s="676"/>
      <c r="T68" s="676"/>
      <c r="U68" s="676"/>
      <c r="V68" s="676"/>
      <c r="W68" s="676"/>
    </row>
    <row r="69" spans="2:24" ht="15.75" customHeight="1">
      <c r="B69" s="665"/>
      <c r="C69" s="665"/>
      <c r="D69" s="665"/>
      <c r="E69" s="241">
        <v>2005</v>
      </c>
      <c r="F69" s="241">
        <v>2006</v>
      </c>
      <c r="G69" s="241">
        <v>2007</v>
      </c>
      <c r="H69" s="241">
        <v>2008</v>
      </c>
      <c r="I69" s="241">
        <v>2009</v>
      </c>
      <c r="J69" s="241">
        <v>2010</v>
      </c>
      <c r="K69" s="241">
        <v>2011</v>
      </c>
      <c r="L69" s="241">
        <v>2012</v>
      </c>
      <c r="M69" s="241">
        <v>2013</v>
      </c>
      <c r="N69" s="242">
        <v>2014</v>
      </c>
      <c r="O69" s="243">
        <v>2015</v>
      </c>
      <c r="P69" s="243">
        <v>2016</v>
      </c>
      <c r="Q69" s="243">
        <v>2017</v>
      </c>
      <c r="R69" s="243">
        <v>2018</v>
      </c>
      <c r="S69" s="244">
        <v>2019</v>
      </c>
      <c r="T69" s="244">
        <v>2020</v>
      </c>
      <c r="U69" s="244">
        <v>2021</v>
      </c>
      <c r="V69" s="244">
        <v>2022</v>
      </c>
      <c r="W69" s="244">
        <v>2023</v>
      </c>
    </row>
    <row r="70" spans="2:24" ht="15.75" customHeight="1">
      <c r="B70" s="663"/>
      <c r="C70" s="15" t="s">
        <v>105</v>
      </c>
      <c r="D70" s="65">
        <f>C45*B32</f>
        <v>0.3</v>
      </c>
      <c r="E70" s="24">
        <f t="shared" ref="E70:N70" si="1">B65*D51*$D$70*(D28-$B$35)</f>
        <v>42980718.159987912</v>
      </c>
      <c r="F70" s="24">
        <f t="shared" si="1"/>
        <v>42569815.2610792</v>
      </c>
      <c r="G70" s="24">
        <f t="shared" si="1"/>
        <v>42152286.642677419</v>
      </c>
      <c r="H70" s="24">
        <f t="shared" si="1"/>
        <v>41732330.890587382</v>
      </c>
      <c r="I70" s="24">
        <f t="shared" si="1"/>
        <v>41306589.324390724</v>
      </c>
      <c r="J70" s="24">
        <f t="shared" si="1"/>
        <v>40874333.923792385</v>
      </c>
      <c r="K70" s="24">
        <f t="shared" si="1"/>
        <v>39081413.280872352</v>
      </c>
      <c r="L70" s="24">
        <f t="shared" si="1"/>
        <v>38655931.153187878</v>
      </c>
      <c r="M70" s="24">
        <f t="shared" si="1"/>
        <v>38232031.863931887</v>
      </c>
      <c r="N70" s="33">
        <f t="shared" si="1"/>
        <v>37810848.514767893</v>
      </c>
      <c r="O70" s="236">
        <f t="shared" ref="O70:W70" si="2">L65*$N$51*$D$70*(N28-$B$35)</f>
        <v>37393502.305281028</v>
      </c>
      <c r="P70" s="236">
        <f t="shared" si="2"/>
        <v>37648279.836711138</v>
      </c>
      <c r="Q70" s="236">
        <f t="shared" si="2"/>
        <v>37847528.931803919</v>
      </c>
      <c r="R70" s="236">
        <f t="shared" si="2"/>
        <v>38045689.234027341</v>
      </c>
      <c r="S70" s="236">
        <f t="shared" si="2"/>
        <v>38243849.536250755</v>
      </c>
      <c r="T70" s="236">
        <f t="shared" si="2"/>
        <v>38442009.838474177</v>
      </c>
      <c r="U70" s="236">
        <f t="shared" si="2"/>
        <v>38640170.140697598</v>
      </c>
      <c r="V70" s="236">
        <f t="shared" si="2"/>
        <v>38796956.313885361</v>
      </c>
      <c r="W70" s="236">
        <f t="shared" si="2"/>
        <v>38952653.694203764</v>
      </c>
    </row>
    <row r="71" spans="2:24" ht="15.75" customHeight="1">
      <c r="B71" s="664"/>
      <c r="C71" s="15" t="s">
        <v>106</v>
      </c>
      <c r="D71" s="65">
        <f>C47*B32</f>
        <v>0.06</v>
      </c>
      <c r="E71" s="24">
        <f t="shared" ref="E71:N71" si="3">B65*D52*$D$71*(D28-$B$35)</f>
        <v>20040430.702453911</v>
      </c>
      <c r="F71" s="24">
        <f t="shared" si="3"/>
        <v>20361604.672317147</v>
      </c>
      <c r="G71" s="24">
        <f t="shared" si="3"/>
        <v>20682747.360474773</v>
      </c>
      <c r="H71" s="24">
        <f t="shared" si="3"/>
        <v>21005672.153088581</v>
      </c>
      <c r="I71" s="24">
        <f t="shared" si="3"/>
        <v>21328491.004694812</v>
      </c>
      <c r="J71" s="24">
        <f t="shared" si="3"/>
        <v>21650520.134065669</v>
      </c>
      <c r="K71" s="24">
        <f t="shared" si="3"/>
        <v>21235610.880084675</v>
      </c>
      <c r="L71" s="24">
        <f t="shared" si="3"/>
        <v>21547033.649619669</v>
      </c>
      <c r="M71" s="24">
        <f t="shared" si="3"/>
        <v>21861279.799050201</v>
      </c>
      <c r="N71" s="33">
        <f t="shared" si="3"/>
        <v>22178975.403060634</v>
      </c>
      <c r="O71" s="236">
        <f t="shared" ref="O71:W71" si="4">L65*$N$52*$D$71*(N28-$B$35)</f>
        <v>22500804.782074504</v>
      </c>
      <c r="P71" s="236">
        <f t="shared" si="4"/>
        <v>22654112.152182978</v>
      </c>
      <c r="Q71" s="236">
        <f t="shared" si="4"/>
        <v>22774006.377524219</v>
      </c>
      <c r="R71" s="236">
        <f t="shared" si="4"/>
        <v>22893245.443164144</v>
      </c>
      <c r="S71" s="236">
        <f t="shared" si="4"/>
        <v>23012484.508804068</v>
      </c>
      <c r="T71" s="236">
        <f t="shared" si="4"/>
        <v>23131723.574443992</v>
      </c>
      <c r="U71" s="236">
        <f t="shared" si="4"/>
        <v>23250962.640083916</v>
      </c>
      <c r="V71" s="236">
        <f t="shared" si="4"/>
        <v>23345305.637073748</v>
      </c>
      <c r="W71" s="236">
        <f t="shared" si="4"/>
        <v>23438993.474362258</v>
      </c>
    </row>
    <row r="72" spans="2:24" ht="15.75" customHeight="1">
      <c r="B72" s="665"/>
      <c r="C72" s="15" t="s">
        <v>107</v>
      </c>
      <c r="D72" s="65">
        <f>C43*B32</f>
        <v>0.06</v>
      </c>
      <c r="E72" s="24">
        <f t="shared" ref="E72:N72" si="5">B65*D54*$D$72*(D28-$B$35)</f>
        <v>519894.95540115616</v>
      </c>
      <c r="F72" s="24">
        <f t="shared" si="5"/>
        <v>498268.31781432487</v>
      </c>
      <c r="G72" s="24">
        <f t="shared" si="5"/>
        <v>477421.77098301868</v>
      </c>
      <c r="H72" s="24">
        <f t="shared" si="5"/>
        <v>457375.91915612057</v>
      </c>
      <c r="I72" s="24">
        <f t="shared" si="5"/>
        <v>438066.01533352624</v>
      </c>
      <c r="J72" s="24">
        <f t="shared" si="5"/>
        <v>419459.93635103316</v>
      </c>
      <c r="K72" s="24">
        <f t="shared" si="5"/>
        <v>388087.47883908718</v>
      </c>
      <c r="L72" s="24">
        <f t="shared" si="5"/>
        <v>371445.48356112867</v>
      </c>
      <c r="M72" s="24">
        <f t="shared" si="5"/>
        <v>355488.77747208084</v>
      </c>
      <c r="N72" s="33">
        <f t="shared" si="5"/>
        <v>340200.15833972505</v>
      </c>
      <c r="O72" s="236">
        <f t="shared" ref="O72:W72" si="6">L65*$N$54*$D$72*(N28-$B$35)</f>
        <v>325562.07199102658</v>
      </c>
      <c r="P72" s="236">
        <f t="shared" si="6"/>
        <v>327780.26220899477</v>
      </c>
      <c r="Q72" s="236">
        <f t="shared" si="6"/>
        <v>329515.00071279041</v>
      </c>
      <c r="R72" s="236">
        <f t="shared" si="6"/>
        <v>331240.25977121014</v>
      </c>
      <c r="S72" s="236">
        <f t="shared" si="6"/>
        <v>332965.51882962981</v>
      </c>
      <c r="T72" s="236">
        <f t="shared" si="6"/>
        <v>334690.77788804955</v>
      </c>
      <c r="U72" s="236">
        <f t="shared" si="6"/>
        <v>336416.03694646928</v>
      </c>
      <c r="V72" s="236">
        <f t="shared" si="6"/>
        <v>337781.07708060357</v>
      </c>
      <c r="W72" s="236">
        <f t="shared" si="6"/>
        <v>339136.6377693619</v>
      </c>
    </row>
    <row r="73" spans="2:24" ht="15.75" customHeight="1">
      <c r="B73" s="673"/>
      <c r="C73" s="680" t="s">
        <v>97</v>
      </c>
      <c r="D73" s="680" t="s">
        <v>103</v>
      </c>
      <c r="E73" s="677" t="s">
        <v>104</v>
      </c>
      <c r="F73" s="678"/>
      <c r="G73" s="678"/>
      <c r="H73" s="678"/>
      <c r="I73" s="678"/>
      <c r="J73" s="678"/>
      <c r="K73" s="678"/>
      <c r="L73" s="678"/>
      <c r="M73" s="678"/>
      <c r="N73" s="678"/>
      <c r="O73" s="679"/>
      <c r="P73" s="679"/>
      <c r="Q73" s="679"/>
      <c r="R73" s="679"/>
      <c r="S73" s="679"/>
      <c r="T73" s="679"/>
      <c r="U73" s="679"/>
      <c r="V73" s="679"/>
      <c r="W73" s="679"/>
    </row>
    <row r="74" spans="2:24" ht="15.75" customHeight="1">
      <c r="B74" s="665"/>
      <c r="C74" s="665"/>
      <c r="D74" s="665"/>
      <c r="E74" s="66">
        <v>2005</v>
      </c>
      <c r="F74" s="66">
        <v>2006</v>
      </c>
      <c r="G74" s="66">
        <v>2007</v>
      </c>
      <c r="H74" s="66">
        <v>2008</v>
      </c>
      <c r="I74" s="66">
        <v>2009</v>
      </c>
      <c r="J74" s="66">
        <v>2010</v>
      </c>
      <c r="K74" s="66">
        <v>2011</v>
      </c>
      <c r="L74" s="66">
        <v>2012</v>
      </c>
      <c r="M74" s="66">
        <v>2013</v>
      </c>
      <c r="N74" s="66">
        <v>2014</v>
      </c>
      <c r="O74" s="66">
        <v>2015</v>
      </c>
      <c r="P74" s="66">
        <v>2016</v>
      </c>
      <c r="Q74" s="66">
        <v>2017</v>
      </c>
      <c r="R74" s="66">
        <v>2018</v>
      </c>
      <c r="S74" s="231">
        <v>2019</v>
      </c>
      <c r="T74" s="233">
        <v>2020</v>
      </c>
      <c r="U74" s="233">
        <v>2021</v>
      </c>
      <c r="V74" s="233">
        <v>2022</v>
      </c>
      <c r="W74" s="233">
        <v>2023</v>
      </c>
    </row>
    <row r="75" spans="2:24" ht="15.75" customHeight="1">
      <c r="B75" s="663"/>
      <c r="C75" s="15" t="s">
        <v>98</v>
      </c>
      <c r="D75" s="67">
        <f>C42*B32</f>
        <v>0.3</v>
      </c>
      <c r="E75" s="24">
        <f t="shared" ref="E75:W75" si="7">B65*D58*$D$75*(D24-$B$35)</f>
        <v>0</v>
      </c>
      <c r="F75" s="24">
        <f t="shared" si="7"/>
        <v>0</v>
      </c>
      <c r="G75" s="24">
        <f t="shared" si="7"/>
        <v>0</v>
      </c>
      <c r="H75" s="24">
        <f t="shared" si="7"/>
        <v>0</v>
      </c>
      <c r="I75" s="24">
        <f t="shared" si="7"/>
        <v>0</v>
      </c>
      <c r="J75" s="24">
        <f t="shared" si="7"/>
        <v>0</v>
      </c>
      <c r="K75" s="24">
        <f t="shared" si="7"/>
        <v>0</v>
      </c>
      <c r="L75" s="24">
        <f t="shared" si="7"/>
        <v>0</v>
      </c>
      <c r="M75" s="24">
        <f t="shared" si="7"/>
        <v>0</v>
      </c>
      <c r="N75" s="24">
        <f t="shared" si="7"/>
        <v>0</v>
      </c>
      <c r="O75" s="24">
        <f t="shared" si="7"/>
        <v>0</v>
      </c>
      <c r="P75" s="24">
        <f t="shared" si="7"/>
        <v>0</v>
      </c>
      <c r="Q75" s="24">
        <f t="shared" si="7"/>
        <v>0</v>
      </c>
      <c r="R75" s="24">
        <f t="shared" si="7"/>
        <v>0</v>
      </c>
      <c r="S75" s="24">
        <f t="shared" si="7"/>
        <v>0</v>
      </c>
      <c r="T75" s="245">
        <f t="shared" si="7"/>
        <v>0</v>
      </c>
      <c r="U75" s="245">
        <f t="shared" si="7"/>
        <v>0</v>
      </c>
      <c r="V75" s="245">
        <f t="shared" si="7"/>
        <v>0</v>
      </c>
      <c r="W75" s="245">
        <f t="shared" si="7"/>
        <v>0</v>
      </c>
    </row>
    <row r="76" spans="2:24" ht="15.75" customHeight="1">
      <c r="B76" s="664"/>
      <c r="C76" s="15" t="s">
        <v>99</v>
      </c>
      <c r="D76" s="67">
        <f>C39*B32</f>
        <v>0.48</v>
      </c>
      <c r="E76" s="24">
        <f t="shared" ref="E76:W76" si="8">B65*D59*$D$76*(D24-$B$35)</f>
        <v>0</v>
      </c>
      <c r="F76" s="24">
        <f t="shared" si="8"/>
        <v>0</v>
      </c>
      <c r="G76" s="24">
        <f t="shared" si="8"/>
        <v>0</v>
      </c>
      <c r="H76" s="24">
        <f t="shared" si="8"/>
        <v>0</v>
      </c>
      <c r="I76" s="24">
        <f t="shared" si="8"/>
        <v>0</v>
      </c>
      <c r="J76" s="24">
        <f t="shared" si="8"/>
        <v>0</v>
      </c>
      <c r="K76" s="24">
        <f t="shared" si="8"/>
        <v>0</v>
      </c>
      <c r="L76" s="24">
        <f t="shared" si="8"/>
        <v>0</v>
      </c>
      <c r="M76" s="24">
        <f t="shared" si="8"/>
        <v>0</v>
      </c>
      <c r="N76" s="24">
        <f t="shared" si="8"/>
        <v>0</v>
      </c>
      <c r="O76" s="24">
        <f t="shared" si="8"/>
        <v>0</v>
      </c>
      <c r="P76" s="24">
        <f t="shared" si="8"/>
        <v>0</v>
      </c>
      <c r="Q76" s="24">
        <f t="shared" si="8"/>
        <v>0</v>
      </c>
      <c r="R76" s="24">
        <f t="shared" si="8"/>
        <v>0</v>
      </c>
      <c r="S76" s="24">
        <f t="shared" si="8"/>
        <v>0</v>
      </c>
      <c r="T76" s="24">
        <f t="shared" si="8"/>
        <v>0</v>
      </c>
      <c r="U76" s="24">
        <f t="shared" si="8"/>
        <v>0</v>
      </c>
      <c r="V76" s="24">
        <f t="shared" si="8"/>
        <v>0</v>
      </c>
      <c r="W76" s="24">
        <f t="shared" si="8"/>
        <v>0</v>
      </c>
    </row>
    <row r="77" spans="2:24" ht="15.75" customHeight="1">
      <c r="B77" s="665"/>
      <c r="C77" s="58" t="s">
        <v>100</v>
      </c>
      <c r="D77" s="67">
        <f>C41*B32</f>
        <v>0</v>
      </c>
      <c r="E77" s="24">
        <f t="shared" ref="E77:W77" si="9">B65*D60*$D$77*(D24-$B$35)</f>
        <v>0</v>
      </c>
      <c r="F77" s="24">
        <f t="shared" si="9"/>
        <v>0</v>
      </c>
      <c r="G77" s="24">
        <f t="shared" si="9"/>
        <v>0</v>
      </c>
      <c r="H77" s="24">
        <f t="shared" si="9"/>
        <v>0</v>
      </c>
      <c r="I77" s="24">
        <f t="shared" si="9"/>
        <v>0</v>
      </c>
      <c r="J77" s="24">
        <f t="shared" si="9"/>
        <v>0</v>
      </c>
      <c r="K77" s="24">
        <f t="shared" si="9"/>
        <v>0</v>
      </c>
      <c r="L77" s="24">
        <f t="shared" si="9"/>
        <v>0</v>
      </c>
      <c r="M77" s="24">
        <f t="shared" si="9"/>
        <v>0</v>
      </c>
      <c r="N77" s="24">
        <f t="shared" si="9"/>
        <v>0</v>
      </c>
      <c r="O77" s="24">
        <f t="shared" si="9"/>
        <v>0</v>
      </c>
      <c r="P77" s="24">
        <f t="shared" si="9"/>
        <v>0</v>
      </c>
      <c r="Q77" s="24">
        <f t="shared" si="9"/>
        <v>0</v>
      </c>
      <c r="R77" s="24">
        <f t="shared" si="9"/>
        <v>0</v>
      </c>
      <c r="S77" s="24">
        <f t="shared" si="9"/>
        <v>0</v>
      </c>
      <c r="T77" s="24">
        <f t="shared" si="9"/>
        <v>0</v>
      </c>
      <c r="U77" s="24">
        <f t="shared" si="9"/>
        <v>0</v>
      </c>
      <c r="V77" s="24">
        <f t="shared" si="9"/>
        <v>0</v>
      </c>
      <c r="W77" s="24">
        <f t="shared" si="9"/>
        <v>0</v>
      </c>
    </row>
    <row r="78" spans="2:24" ht="15.75" customHeight="1">
      <c r="E78" s="68"/>
    </row>
    <row r="79" spans="2:24" ht="15.75" customHeight="1" thickBot="1"/>
    <row r="80" spans="2:24" ht="15.75" customHeight="1">
      <c r="B80" s="681" t="s">
        <v>108</v>
      </c>
      <c r="C80" s="683"/>
      <c r="D80" s="252">
        <v>2005</v>
      </c>
      <c r="E80" s="252">
        <v>2006</v>
      </c>
      <c r="F80" s="253">
        <v>2007</v>
      </c>
      <c r="G80" s="253">
        <v>2008</v>
      </c>
      <c r="H80" s="253">
        <v>2009</v>
      </c>
      <c r="I80" s="253">
        <v>2010</v>
      </c>
      <c r="J80" s="253">
        <v>2011</v>
      </c>
      <c r="K80" s="253">
        <v>2012</v>
      </c>
      <c r="L80" s="253">
        <v>2013</v>
      </c>
      <c r="M80" s="253">
        <v>2014</v>
      </c>
      <c r="N80" s="253">
        <v>2015</v>
      </c>
      <c r="O80" s="253">
        <v>2016</v>
      </c>
      <c r="P80" s="253">
        <v>2017</v>
      </c>
      <c r="Q80" s="253">
        <v>2018</v>
      </c>
      <c r="R80" s="254">
        <v>2019</v>
      </c>
      <c r="S80" s="254">
        <v>2020</v>
      </c>
      <c r="T80" s="254">
        <v>2021</v>
      </c>
      <c r="U80" s="254">
        <v>2022</v>
      </c>
      <c r="V80" s="255">
        <v>2023</v>
      </c>
    </row>
    <row r="81" spans="2:26" ht="15.75" customHeight="1" thickBot="1">
      <c r="B81" s="260"/>
      <c r="C81" s="261"/>
      <c r="D81" s="264">
        <f t="shared" ref="D81:V81" si="10">(SUM(E70:E72)+SUM(E75:E77))/10^3</f>
        <v>63541.043817842983</v>
      </c>
      <c r="E81" s="264">
        <f t="shared" si="10"/>
        <v>63429.688251210675</v>
      </c>
      <c r="F81" s="264">
        <f t="shared" si="10"/>
        <v>63312.455774135211</v>
      </c>
      <c r="G81" s="264">
        <f t="shared" si="10"/>
        <v>63195.378962832081</v>
      </c>
      <c r="H81" s="264">
        <f t="shared" si="10"/>
        <v>63073.146344419059</v>
      </c>
      <c r="I81" s="264">
        <f t="shared" si="10"/>
        <v>62944.313994209078</v>
      </c>
      <c r="J81" s="264">
        <f t="shared" si="10"/>
        <v>60705.111639796109</v>
      </c>
      <c r="K81" s="264">
        <f t="shared" si="10"/>
        <v>60574.410286368678</v>
      </c>
      <c r="L81" s="264">
        <f t="shared" si="10"/>
        <v>60448.800440454172</v>
      </c>
      <c r="M81" s="264">
        <f t="shared" si="10"/>
        <v>60330.024076168251</v>
      </c>
      <c r="N81" s="264">
        <f t="shared" si="10"/>
        <v>60219.869159346556</v>
      </c>
      <c r="O81" s="264">
        <f t="shared" si="10"/>
        <v>60630.172251103118</v>
      </c>
      <c r="P81" s="264">
        <f t="shared" si="10"/>
        <v>60951.050310040926</v>
      </c>
      <c r="Q81" s="264">
        <f t="shared" si="10"/>
        <v>61270.174936962692</v>
      </c>
      <c r="R81" s="264">
        <f t="shared" si="10"/>
        <v>61589.299563884451</v>
      </c>
      <c r="S81" s="264">
        <f t="shared" si="10"/>
        <v>61908.424190806218</v>
      </c>
      <c r="T81" s="264">
        <f t="shared" si="10"/>
        <v>62227.548817727984</v>
      </c>
      <c r="U81" s="264">
        <f t="shared" si="10"/>
        <v>62480.043028039712</v>
      </c>
      <c r="V81" s="265">
        <f t="shared" si="10"/>
        <v>62730.783806335385</v>
      </c>
      <c r="W81" s="69"/>
      <c r="X81" s="70"/>
      <c r="Y81" s="70"/>
      <c r="Z81" s="70"/>
    </row>
    <row r="82" spans="2:26" ht="15.75" customHeight="1" thickBot="1">
      <c r="B82" s="19"/>
      <c r="C82" s="19"/>
      <c r="D82" s="19"/>
      <c r="E82" s="19"/>
      <c r="F82" s="35"/>
      <c r="G82" s="35"/>
      <c r="H82" s="35"/>
      <c r="I82" s="35"/>
      <c r="J82" s="35"/>
      <c r="K82" s="35"/>
      <c r="L82" s="29"/>
      <c r="M82" s="29"/>
      <c r="N82" s="29"/>
      <c r="O82" s="29"/>
      <c r="P82" s="29"/>
      <c r="Q82" s="29"/>
    </row>
    <row r="83" spans="2:26" ht="15.75" customHeight="1">
      <c r="B83" s="681" t="s">
        <v>109</v>
      </c>
      <c r="C83" s="683"/>
      <c r="D83" s="252">
        <v>2005</v>
      </c>
      <c r="E83" s="252">
        <v>2006</v>
      </c>
      <c r="F83" s="253">
        <v>2007</v>
      </c>
      <c r="G83" s="253">
        <v>2008</v>
      </c>
      <c r="H83" s="253">
        <v>2009</v>
      </c>
      <c r="I83" s="253">
        <v>2010</v>
      </c>
      <c r="J83" s="253">
        <v>2011</v>
      </c>
      <c r="K83" s="253">
        <v>2012</v>
      </c>
      <c r="L83" s="253">
        <v>2013</v>
      </c>
      <c r="M83" s="253">
        <v>2014</v>
      </c>
      <c r="N83" s="253">
        <v>2015</v>
      </c>
      <c r="O83" s="253">
        <v>2016</v>
      </c>
      <c r="P83" s="253">
        <v>2017</v>
      </c>
      <c r="Q83" s="253">
        <v>2018</v>
      </c>
      <c r="R83" s="254">
        <v>2019</v>
      </c>
      <c r="S83" s="254">
        <v>2020</v>
      </c>
      <c r="T83" s="254">
        <v>2021</v>
      </c>
      <c r="U83" s="254">
        <v>2022</v>
      </c>
      <c r="V83" s="255">
        <v>2023</v>
      </c>
    </row>
    <row r="84" spans="2:26" ht="15.75" customHeight="1" thickBot="1">
      <c r="B84" s="260"/>
      <c r="C84" s="261"/>
      <c r="D84" s="262">
        <f t="shared" ref="D84:V84" si="11">D81*21</f>
        <v>1334361.9201747025</v>
      </c>
      <c r="E84" s="262">
        <f t="shared" si="11"/>
        <v>1332023.4532754242</v>
      </c>
      <c r="F84" s="262">
        <f t="shared" si="11"/>
        <v>1329561.5712568394</v>
      </c>
      <c r="G84" s="262">
        <f t="shared" si="11"/>
        <v>1327102.9582194737</v>
      </c>
      <c r="H84" s="262">
        <f t="shared" si="11"/>
        <v>1324536.0732328002</v>
      </c>
      <c r="I84" s="262">
        <f t="shared" si="11"/>
        <v>1321830.5938783907</v>
      </c>
      <c r="J84" s="262">
        <f t="shared" si="11"/>
        <v>1274807.3444357184</v>
      </c>
      <c r="K84" s="262">
        <f t="shared" si="11"/>
        <v>1272062.6160137423</v>
      </c>
      <c r="L84" s="262">
        <f t="shared" si="11"/>
        <v>1269424.8092495375</v>
      </c>
      <c r="M84" s="262">
        <f t="shared" si="11"/>
        <v>1266930.5055995332</v>
      </c>
      <c r="N84" s="262">
        <f t="shared" si="11"/>
        <v>1264617.2523462777</v>
      </c>
      <c r="O84" s="262">
        <f t="shared" si="11"/>
        <v>1273233.6172731654</v>
      </c>
      <c r="P84" s="262">
        <f t="shared" si="11"/>
        <v>1279972.0565108594</v>
      </c>
      <c r="Q84" s="262">
        <f t="shared" si="11"/>
        <v>1286673.6736762165</v>
      </c>
      <c r="R84" s="262">
        <f t="shared" si="11"/>
        <v>1293375.2908415734</v>
      </c>
      <c r="S84" s="262">
        <f t="shared" si="11"/>
        <v>1300076.9080069305</v>
      </c>
      <c r="T84" s="262">
        <f t="shared" si="11"/>
        <v>1306778.5251722876</v>
      </c>
      <c r="U84" s="262">
        <f t="shared" si="11"/>
        <v>1312080.903588834</v>
      </c>
      <c r="V84" s="263">
        <f t="shared" si="11"/>
        <v>1317346.459933043</v>
      </c>
    </row>
    <row r="85" spans="2:26" ht="15.75" customHeight="1" thickBot="1">
      <c r="B85" s="71"/>
      <c r="C85" s="72"/>
      <c r="T85" s="73"/>
    </row>
    <row r="86" spans="2:26" ht="15.75" customHeight="1">
      <c r="B86" s="250" t="s">
        <v>110</v>
      </c>
      <c r="C86" s="251"/>
      <c r="D86" s="252">
        <v>2005</v>
      </c>
      <c r="E86" s="252">
        <v>2006</v>
      </c>
      <c r="F86" s="253">
        <v>2007</v>
      </c>
      <c r="G86" s="253">
        <v>2008</v>
      </c>
      <c r="H86" s="253">
        <v>2009</v>
      </c>
      <c r="I86" s="253">
        <v>2010</v>
      </c>
      <c r="J86" s="253">
        <v>2011</v>
      </c>
      <c r="K86" s="253">
        <v>2012</v>
      </c>
      <c r="L86" s="253">
        <v>2013</v>
      </c>
      <c r="M86" s="253">
        <v>2014</v>
      </c>
      <c r="N86" s="253">
        <v>2015</v>
      </c>
      <c r="O86" s="253">
        <v>2016</v>
      </c>
      <c r="P86" s="253">
        <v>2017</v>
      </c>
      <c r="Q86" s="253">
        <v>2018</v>
      </c>
      <c r="R86" s="254">
        <v>2019</v>
      </c>
      <c r="S86" s="254">
        <v>2020</v>
      </c>
      <c r="T86" s="254">
        <v>2021</v>
      </c>
      <c r="U86" s="254">
        <v>2022</v>
      </c>
      <c r="V86" s="255">
        <v>2023</v>
      </c>
    </row>
    <row r="87" spans="2:26" ht="15.75" customHeight="1" thickBot="1">
      <c r="B87" s="256"/>
      <c r="C87" s="257"/>
      <c r="D87" s="258">
        <f t="shared" ref="D87:V87" si="12">D81*27.9</f>
        <v>1772795.1225178191</v>
      </c>
      <c r="E87" s="258">
        <f t="shared" si="12"/>
        <v>1769688.3022087777</v>
      </c>
      <c r="F87" s="258">
        <f t="shared" si="12"/>
        <v>1766417.5160983724</v>
      </c>
      <c r="G87" s="258">
        <f t="shared" si="12"/>
        <v>1763151.073063015</v>
      </c>
      <c r="H87" s="258">
        <f t="shared" si="12"/>
        <v>1759740.7830092916</v>
      </c>
      <c r="I87" s="258">
        <f t="shared" si="12"/>
        <v>1756146.3604384332</v>
      </c>
      <c r="J87" s="258">
        <f t="shared" si="12"/>
        <v>1693672.6147503112</v>
      </c>
      <c r="K87" s="258">
        <f t="shared" si="12"/>
        <v>1690026.0469896861</v>
      </c>
      <c r="L87" s="258">
        <f t="shared" si="12"/>
        <v>1686521.5322886712</v>
      </c>
      <c r="M87" s="258">
        <f t="shared" si="12"/>
        <v>1683207.6717250941</v>
      </c>
      <c r="N87" s="258">
        <f t="shared" si="12"/>
        <v>1680134.3495457689</v>
      </c>
      <c r="O87" s="258">
        <f t="shared" si="12"/>
        <v>1691581.805805777</v>
      </c>
      <c r="P87" s="258">
        <f t="shared" si="12"/>
        <v>1700534.3036501417</v>
      </c>
      <c r="Q87" s="258">
        <f t="shared" si="12"/>
        <v>1709437.8807412591</v>
      </c>
      <c r="R87" s="258">
        <f t="shared" si="12"/>
        <v>1718341.457832376</v>
      </c>
      <c r="S87" s="258">
        <f t="shared" si="12"/>
        <v>1727245.0349234934</v>
      </c>
      <c r="T87" s="258">
        <f t="shared" si="12"/>
        <v>1736148.6120146106</v>
      </c>
      <c r="U87" s="258">
        <f t="shared" si="12"/>
        <v>1743193.2004823079</v>
      </c>
      <c r="V87" s="259">
        <f t="shared" si="12"/>
        <v>1750188.868196757</v>
      </c>
    </row>
    <row r="88" spans="2:26" ht="15.75" customHeight="1">
      <c r="B88" s="72"/>
      <c r="C88" s="72"/>
    </row>
    <row r="89" spans="2:26" ht="15.75" customHeight="1" thickBot="1">
      <c r="B89" s="74"/>
      <c r="C89" s="72"/>
      <c r="D89" s="19"/>
      <c r="E89" s="19"/>
      <c r="F89" s="35"/>
      <c r="G89" s="35"/>
      <c r="H89" s="35"/>
      <c r="I89" s="35"/>
      <c r="J89" s="35"/>
      <c r="K89" s="35"/>
      <c r="L89" s="35"/>
      <c r="M89" s="35"/>
      <c r="N89" s="35"/>
      <c r="O89" s="35"/>
      <c r="P89" s="35"/>
      <c r="Q89" s="35"/>
      <c r="R89" s="55"/>
      <c r="S89" s="55"/>
      <c r="T89" s="55"/>
    </row>
    <row r="90" spans="2:26" ht="15.75" customHeight="1">
      <c r="B90" s="250" t="s">
        <v>111</v>
      </c>
      <c r="C90" s="251"/>
      <c r="D90" s="252">
        <v>2005</v>
      </c>
      <c r="E90" s="252">
        <v>2006</v>
      </c>
      <c r="F90" s="253">
        <v>2007</v>
      </c>
      <c r="G90" s="253">
        <v>2008</v>
      </c>
      <c r="H90" s="253">
        <v>2009</v>
      </c>
      <c r="I90" s="253">
        <v>2010</v>
      </c>
      <c r="J90" s="253">
        <v>2011</v>
      </c>
      <c r="K90" s="253">
        <v>2012</v>
      </c>
      <c r="L90" s="253">
        <v>2013</v>
      </c>
      <c r="M90" s="253">
        <v>2014</v>
      </c>
      <c r="N90" s="253">
        <v>2015</v>
      </c>
      <c r="O90" s="253">
        <v>2016</v>
      </c>
      <c r="P90" s="253">
        <v>2017</v>
      </c>
      <c r="Q90" s="253">
        <v>2018</v>
      </c>
      <c r="R90" s="254">
        <v>2019</v>
      </c>
      <c r="S90" s="254">
        <v>2020</v>
      </c>
      <c r="T90" s="254">
        <v>2021</v>
      </c>
      <c r="U90" s="254">
        <v>2022</v>
      </c>
      <c r="V90" s="255">
        <v>2023</v>
      </c>
    </row>
    <row r="91" spans="2:26" ht="15.75" customHeight="1" thickBot="1">
      <c r="B91" s="256"/>
      <c r="C91" s="257"/>
      <c r="D91" s="258">
        <f t="shared" ref="D91:V91" si="13">D81*5.38</f>
        <v>341850.81573999522</v>
      </c>
      <c r="E91" s="258">
        <f t="shared" si="13"/>
        <v>341251.72279151343</v>
      </c>
      <c r="F91" s="258">
        <f t="shared" si="13"/>
        <v>340621.01206484745</v>
      </c>
      <c r="G91" s="258">
        <f t="shared" si="13"/>
        <v>339991.13882003661</v>
      </c>
      <c r="H91" s="258">
        <f t="shared" si="13"/>
        <v>339333.52733297454</v>
      </c>
      <c r="I91" s="258">
        <f t="shared" si="13"/>
        <v>338640.40928884485</v>
      </c>
      <c r="J91" s="258">
        <f t="shared" si="13"/>
        <v>326593.50062210305</v>
      </c>
      <c r="K91" s="258">
        <f t="shared" si="13"/>
        <v>325890.32734066347</v>
      </c>
      <c r="L91" s="258">
        <f t="shared" si="13"/>
        <v>325214.54636964342</v>
      </c>
      <c r="M91" s="258">
        <f t="shared" si="13"/>
        <v>324575.52952978516</v>
      </c>
      <c r="N91" s="258">
        <f t="shared" si="13"/>
        <v>323982.89607728447</v>
      </c>
      <c r="O91" s="258">
        <f t="shared" si="13"/>
        <v>326190.32671093475</v>
      </c>
      <c r="P91" s="258">
        <f t="shared" si="13"/>
        <v>327916.65066802019</v>
      </c>
      <c r="Q91" s="258">
        <f t="shared" si="13"/>
        <v>329633.54116085928</v>
      </c>
      <c r="R91" s="258">
        <f t="shared" si="13"/>
        <v>331350.43165369832</v>
      </c>
      <c r="S91" s="258">
        <f t="shared" si="13"/>
        <v>333067.32214653742</v>
      </c>
      <c r="T91" s="258">
        <f t="shared" si="13"/>
        <v>334784.21263937652</v>
      </c>
      <c r="U91" s="258">
        <f t="shared" si="13"/>
        <v>336142.63149085367</v>
      </c>
      <c r="V91" s="259">
        <f t="shared" si="13"/>
        <v>337491.61687808437</v>
      </c>
    </row>
    <row r="92" spans="2:26" ht="15.75" customHeight="1" thickBot="1"/>
    <row r="93" spans="2:26" ht="15.75" customHeight="1" thickBot="1">
      <c r="B93" s="272"/>
      <c r="C93" s="273"/>
      <c r="D93" s="252">
        <v>2005</v>
      </c>
      <c r="E93" s="252">
        <v>2006</v>
      </c>
      <c r="F93" s="253">
        <v>2007</v>
      </c>
      <c r="G93" s="253">
        <v>2008</v>
      </c>
      <c r="H93" s="253">
        <v>2009</v>
      </c>
      <c r="I93" s="253">
        <v>2010</v>
      </c>
      <c r="J93" s="253">
        <v>2011</v>
      </c>
      <c r="K93" s="253">
        <v>2012</v>
      </c>
      <c r="L93" s="253">
        <v>2013</v>
      </c>
      <c r="M93" s="253">
        <v>2014</v>
      </c>
      <c r="N93" s="253">
        <v>2015</v>
      </c>
      <c r="O93" s="253">
        <v>2016</v>
      </c>
      <c r="P93" s="253">
        <v>2017</v>
      </c>
      <c r="Q93" s="253">
        <v>2018</v>
      </c>
      <c r="R93" s="254">
        <v>2019</v>
      </c>
      <c r="S93" s="254">
        <v>2020</v>
      </c>
      <c r="T93" s="254">
        <v>2021</v>
      </c>
      <c r="U93" s="254">
        <v>2022</v>
      </c>
      <c r="V93" s="255">
        <v>2023</v>
      </c>
    </row>
    <row r="94" spans="2:26" ht="15.75" customHeight="1">
      <c r="B94" s="681" t="s">
        <v>112</v>
      </c>
      <c r="C94" s="682"/>
      <c r="D94" s="270">
        <f>D84+'Domestic wastewater- N2O '!D42</f>
        <v>1799979.5855337025</v>
      </c>
      <c r="E94" s="266">
        <f>E84+'Domestic wastewater- N2O '!E42</f>
        <v>1801536.6739904243</v>
      </c>
      <c r="F94" s="266">
        <f>F84+'Domestic wastewater- N2O '!F42</f>
        <v>1802885.6613418395</v>
      </c>
      <c r="G94" s="266">
        <f>G84+'Domestic wastewater- N2O '!G42</f>
        <v>1804195.5746814737</v>
      </c>
      <c r="H94" s="266">
        <f>H84+'Domestic wastewater- N2O '!H42</f>
        <v>1807432.3557333001</v>
      </c>
      <c r="I94" s="266">
        <f>I84+'Domestic wastewater- N2O '!I42</f>
        <v>1808327.7235078907</v>
      </c>
      <c r="J94" s="266">
        <f>J84+'Domestic wastewater- N2O '!J42</f>
        <v>1771674.6476283357</v>
      </c>
      <c r="K94" s="266">
        <f>K84+'Domestic wastewater- N2O '!K42</f>
        <v>1772424.3002812422</v>
      </c>
      <c r="L94" s="266">
        <f>L84+'Domestic wastewater- N2O '!L42</f>
        <v>1773266.9083120376</v>
      </c>
      <c r="M94" s="266">
        <f>M84+'Domestic wastewater- N2O '!M42</f>
        <v>1774253.0194570334</v>
      </c>
      <c r="N94" s="266">
        <f>N84+'Domestic wastewater- N2O '!N42</f>
        <v>1775435.0545662777</v>
      </c>
      <c r="O94" s="266">
        <f>O84+'Domestic wastewater- N2O '!O42</f>
        <v>1787531.8342881654</v>
      </c>
      <c r="P94" s="266">
        <f>P84+'Domestic wastewater- N2O '!P42</f>
        <v>1796992.1363783593</v>
      </c>
      <c r="Q94" s="266">
        <f>Q84+'Domestic wastewater- N2O '!Q42</f>
        <v>1806400.7428287165</v>
      </c>
      <c r="R94" s="266">
        <f>R84+'Domestic wastewater- N2O '!R42</f>
        <v>1815809.3492790735</v>
      </c>
      <c r="S94" s="266">
        <f>S84+'Domestic wastewater- N2O '!S42</f>
        <v>1825217.9557294303</v>
      </c>
      <c r="T94" s="266">
        <f>T84+'Domestic wastewater- N2O '!T42</f>
        <v>1834626.5621797876</v>
      </c>
      <c r="U94" s="266">
        <f>U84+'Domestic wastewater- N2O '!U42</f>
        <v>1842070.7343163339</v>
      </c>
      <c r="V94" s="267">
        <f>V84+'Domestic wastewater- N2O '!V42</f>
        <v>1849463.2108130432</v>
      </c>
    </row>
    <row r="95" spans="2:26" ht="15.75" customHeight="1" thickBot="1">
      <c r="B95" s="684" t="s">
        <v>113</v>
      </c>
      <c r="C95" s="685"/>
      <c r="D95" s="271">
        <f t="shared" ref="D95:V95" si="14">D94/10^6</f>
        <v>1.7999795855337024</v>
      </c>
      <c r="E95" s="268">
        <f t="shared" si="14"/>
        <v>1.8015366739904242</v>
      </c>
      <c r="F95" s="268">
        <f t="shared" si="14"/>
        <v>1.8028856613418394</v>
      </c>
      <c r="G95" s="268">
        <f t="shared" si="14"/>
        <v>1.8041955746814737</v>
      </c>
      <c r="H95" s="268">
        <f t="shared" si="14"/>
        <v>1.8074323557333001</v>
      </c>
      <c r="I95" s="268">
        <f t="shared" si="14"/>
        <v>1.8083277235078907</v>
      </c>
      <c r="J95" s="268">
        <f t="shared" si="14"/>
        <v>1.7716746476283358</v>
      </c>
      <c r="K95" s="268">
        <f t="shared" si="14"/>
        <v>1.7724243002812423</v>
      </c>
      <c r="L95" s="268">
        <f t="shared" si="14"/>
        <v>1.7732669083120376</v>
      </c>
      <c r="M95" s="268">
        <f t="shared" si="14"/>
        <v>1.7742530194570334</v>
      </c>
      <c r="N95" s="268">
        <f t="shared" si="14"/>
        <v>1.7754350545662776</v>
      </c>
      <c r="O95" s="268">
        <f t="shared" si="14"/>
        <v>1.7875318342881654</v>
      </c>
      <c r="P95" s="268">
        <f t="shared" si="14"/>
        <v>1.7969921363783592</v>
      </c>
      <c r="Q95" s="268">
        <f t="shared" si="14"/>
        <v>1.8064007428287165</v>
      </c>
      <c r="R95" s="268">
        <f t="shared" si="14"/>
        <v>1.8158093492790734</v>
      </c>
      <c r="S95" s="268">
        <f t="shared" si="14"/>
        <v>1.8252179557294304</v>
      </c>
      <c r="T95" s="268">
        <f t="shared" si="14"/>
        <v>1.8346265621797875</v>
      </c>
      <c r="U95" s="268">
        <f t="shared" si="14"/>
        <v>1.8420707343163338</v>
      </c>
      <c r="V95" s="269">
        <f t="shared" si="14"/>
        <v>1.8494632108130431</v>
      </c>
    </row>
    <row r="96" spans="2:26" ht="15.75" customHeight="1" thickBot="1">
      <c r="D96" s="76"/>
      <c r="E96" s="76"/>
      <c r="F96" s="76"/>
      <c r="G96" s="76"/>
      <c r="H96" s="76"/>
      <c r="I96" s="76"/>
      <c r="J96" s="76"/>
      <c r="K96" s="76"/>
      <c r="L96" s="76"/>
      <c r="M96" s="76"/>
      <c r="N96" s="76"/>
      <c r="O96" s="76"/>
      <c r="P96" s="76"/>
      <c r="Q96" s="76"/>
      <c r="R96" s="76"/>
      <c r="S96" s="76"/>
      <c r="T96" s="76"/>
      <c r="U96" s="76"/>
      <c r="V96" s="246"/>
      <c r="W96" s="246"/>
      <c r="X96" s="247"/>
      <c r="Y96" s="247"/>
    </row>
    <row r="97" spans="2:26" ht="15.75" customHeight="1">
      <c r="B97" s="681" t="s">
        <v>219</v>
      </c>
      <c r="C97" s="682"/>
      <c r="D97" s="252">
        <v>2005</v>
      </c>
      <c r="E97" s="252">
        <v>2006</v>
      </c>
      <c r="F97" s="253">
        <v>2007</v>
      </c>
      <c r="G97" s="253">
        <v>2008</v>
      </c>
      <c r="H97" s="253">
        <v>2009</v>
      </c>
      <c r="I97" s="253">
        <v>2010</v>
      </c>
      <c r="J97" s="253">
        <v>2011</v>
      </c>
      <c r="K97" s="253">
        <v>2012</v>
      </c>
      <c r="L97" s="253">
        <v>2013</v>
      </c>
      <c r="M97" s="253">
        <v>2014</v>
      </c>
      <c r="N97" s="253">
        <v>2015</v>
      </c>
      <c r="O97" s="253">
        <v>2016</v>
      </c>
      <c r="P97" s="253">
        <v>2017</v>
      </c>
      <c r="Q97" s="253">
        <v>2018</v>
      </c>
      <c r="R97" s="254">
        <v>2019</v>
      </c>
      <c r="S97" s="254">
        <v>2020</v>
      </c>
      <c r="T97" s="254">
        <v>2021</v>
      </c>
      <c r="U97" s="254">
        <v>2022</v>
      </c>
      <c r="V97" s="255">
        <v>2023</v>
      </c>
      <c r="W97" s="247"/>
      <c r="X97" s="248"/>
      <c r="Y97" s="249"/>
      <c r="Z97" s="247"/>
    </row>
    <row r="98" spans="2:26" s="282" customFormat="1" ht="15.75" customHeight="1" thickBot="1">
      <c r="B98" s="274"/>
      <c r="C98" s="275"/>
      <c r="D98" s="276">
        <f>D87+'Domestic wastewater- N2O '!D45</f>
        <v>2182839.0665275189</v>
      </c>
      <c r="E98" s="276">
        <f>E87+'Domestic wastewater- N2O '!E45</f>
        <v>2183162.8481932776</v>
      </c>
      <c r="F98" s="276">
        <f>F87+'Domestic wastewater- N2O '!F45</f>
        <v>2183248.0857538725</v>
      </c>
      <c r="G98" s="276">
        <f>G87+'Domestic wastewater- N2O '!G45</f>
        <v>2183300.3772376152</v>
      </c>
      <c r="H98" s="276">
        <f>H87+'Domestic wastewater- N2O '!H45</f>
        <v>2185001.0575984418</v>
      </c>
      <c r="I98" s="276">
        <f>I87+'Domestic wastewater- N2O '!I45</f>
        <v>2184577.7036282835</v>
      </c>
      <c r="J98" s="276">
        <f>J87+'Domestic wastewater- N2O '!J45</f>
        <v>2131236.4011102617</v>
      </c>
      <c r="K98" s="276">
        <f>K87+'Domestic wastewater- N2O '!K45</f>
        <v>2130667.1431349362</v>
      </c>
      <c r="L98" s="276">
        <f>L87+'Domestic wastewater- N2O '!L45</f>
        <v>2130227.6388824214</v>
      </c>
      <c r="M98" s="276">
        <f>M87+'Domestic wastewater- N2O '!M45</f>
        <v>2129978.7887673443</v>
      </c>
      <c r="N98" s="276">
        <f>N87+'Domestic wastewater- N2O '!N45</f>
        <v>2129983.5753717688</v>
      </c>
      <c r="O98" s="276">
        <f>O87+'Domestic wastewater- N2O '!O45</f>
        <v>2144496.0420802771</v>
      </c>
      <c r="P98" s="276">
        <f>P87+'Domestic wastewater- N2O '!P45</f>
        <v>2155845.5352753918</v>
      </c>
      <c r="Q98" s="276">
        <f>Q87+'Domestic wastewater- N2O '!Q45</f>
        <v>2167133.009382009</v>
      </c>
      <c r="R98" s="276">
        <f>R87+'Domestic wastewater- N2O '!R45</f>
        <v>2178420.4834886258</v>
      </c>
      <c r="S98" s="276">
        <f>S87+'Domestic wastewater- N2O '!S45</f>
        <v>2189707.9575952431</v>
      </c>
      <c r="T98" s="276">
        <f>T87+'Domestic wastewater- N2O '!T45</f>
        <v>2200995.4317018604</v>
      </c>
      <c r="U98" s="276">
        <f>U87+'Domestic wastewater- N2O '!U45</f>
        <v>2209926.1804455579</v>
      </c>
      <c r="V98" s="277">
        <f>V87+'Domestic wastewater- N2O '!V45</f>
        <v>2218794.9101007571</v>
      </c>
      <c r="W98" s="278"/>
      <c r="X98" s="279"/>
      <c r="Y98" s="280"/>
      <c r="Z98" s="281"/>
    </row>
    <row r="99" spans="2:26" ht="15.75" customHeight="1" thickBot="1">
      <c r="U99" s="247"/>
      <c r="V99" s="73"/>
      <c r="W99" s="73"/>
    </row>
    <row r="100" spans="2:26" ht="15.75" customHeight="1">
      <c r="B100" s="681" t="s">
        <v>220</v>
      </c>
      <c r="C100" s="682"/>
      <c r="D100" s="252">
        <v>2005</v>
      </c>
      <c r="E100" s="252">
        <v>2006</v>
      </c>
      <c r="F100" s="253">
        <v>2007</v>
      </c>
      <c r="G100" s="253">
        <v>2008</v>
      </c>
      <c r="H100" s="253">
        <v>2009</v>
      </c>
      <c r="I100" s="253">
        <v>2010</v>
      </c>
      <c r="J100" s="253">
        <v>2011</v>
      </c>
      <c r="K100" s="253">
        <v>2012</v>
      </c>
      <c r="L100" s="253">
        <v>2013</v>
      </c>
      <c r="M100" s="253">
        <v>2014</v>
      </c>
      <c r="N100" s="253">
        <v>2015</v>
      </c>
      <c r="O100" s="253">
        <v>2016</v>
      </c>
      <c r="P100" s="253">
        <v>2017</v>
      </c>
      <c r="Q100" s="253">
        <v>2018</v>
      </c>
      <c r="R100" s="254">
        <v>2019</v>
      </c>
      <c r="S100" s="254">
        <v>2020</v>
      </c>
      <c r="T100" s="254">
        <v>2021</v>
      </c>
      <c r="U100" s="254">
        <v>2022</v>
      </c>
      <c r="V100" s="255">
        <v>2023</v>
      </c>
      <c r="Y100" s="248"/>
    </row>
    <row r="101" spans="2:26" s="282" customFormat="1" ht="15.75" customHeight="1" thickBot="1">
      <c r="B101" s="274"/>
      <c r="C101" s="275"/>
      <c r="D101" s="276">
        <f>D91+'Domestic wastewater- N2O '!D49</f>
        <v>691815.06099369517</v>
      </c>
      <c r="E101" s="276">
        <f>E91+'Domestic wastewater- N2O '!E49</f>
        <v>694143.9177160135</v>
      </c>
      <c r="F101" s="276">
        <f>F91+'Domestic wastewater- N2O '!F49</f>
        <v>696377.5055803475</v>
      </c>
      <c r="G101" s="276">
        <f>G91+'Domestic wastewater- N2O '!G49</f>
        <v>698580.10538663669</v>
      </c>
      <c r="H101" s="276">
        <f>H91+'Domestic wastewater- N2O '!H49</f>
        <v>702284.60418012459</v>
      </c>
      <c r="I101" s="276">
        <f>I91+'Domestic wastewater- N2O '!I49</f>
        <v>704297.92930069484</v>
      </c>
      <c r="J101" s="276">
        <f>J91+'Domestic wastewater- N2O '!J49</f>
        <v>700045.37689268333</v>
      </c>
      <c r="K101" s="276">
        <f>K91+'Domestic wastewater- N2O '!K49</f>
        <v>701968.62551591336</v>
      </c>
      <c r="L101" s="276">
        <f>L91+'Domestic wastewater- N2O '!L49</f>
        <v>703908.76921339333</v>
      </c>
      <c r="M101" s="276">
        <f>M91+'Domestic wastewater- N2O '!M49</f>
        <v>705885.67704203515</v>
      </c>
      <c r="N101" s="276">
        <f>N91+'Domestic wastewater- N2O '!N49</f>
        <v>707920.14742328448</v>
      </c>
      <c r="O101" s="276">
        <f>O91+'Domestic wastewater- N2O '!O49</f>
        <v>712743.50272543472</v>
      </c>
      <c r="P101" s="276">
        <f>P91+'Domestic wastewater- N2O '!P49</f>
        <v>716515.61392327014</v>
      </c>
      <c r="Q101" s="276">
        <f>Q91+'Domestic wastewater- N2O '!Q49</f>
        <v>720267.1124916093</v>
      </c>
      <c r="R101" s="276">
        <f>R91+'Domestic wastewater- N2O '!R49</f>
        <v>724018.61105994834</v>
      </c>
      <c r="S101" s="276">
        <f>S91+'Domestic wastewater- N2O '!S49</f>
        <v>727770.10962828738</v>
      </c>
      <c r="T101" s="276">
        <f>T91+'Domestic wastewater- N2O '!T49</f>
        <v>731521.60819662653</v>
      </c>
      <c r="U101" s="276">
        <f>U91+'Domestic wastewater- N2O '!U49</f>
        <v>734489.82684410363</v>
      </c>
      <c r="V101" s="277">
        <f>V91+'Domestic wastewater- N2O '!V49</f>
        <v>737437.43286208436</v>
      </c>
      <c r="Y101" s="279"/>
    </row>
    <row r="102" spans="2:26" ht="15.75" customHeight="1"/>
    <row r="103" spans="2:26" ht="15.75" customHeight="1">
      <c r="Y103" s="247"/>
    </row>
    <row r="104" spans="2:26" ht="15.75" customHeight="1"/>
    <row r="105" spans="2:26" ht="15.75" customHeight="1"/>
    <row r="106" spans="2:26" ht="15.75" customHeight="1"/>
    <row r="107" spans="2:26" ht="15.75" customHeight="1"/>
    <row r="108" spans="2:26" ht="15.75" customHeight="1"/>
    <row r="109" spans="2:26" ht="15.75" customHeight="1"/>
    <row r="110" spans="2:26" ht="15.75" customHeight="1"/>
    <row r="111" spans="2:26" ht="15.75" customHeight="1"/>
    <row r="112" spans="2:2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B97:C97"/>
    <mergeCell ref="B100:C100"/>
    <mergeCell ref="B80:C80"/>
    <mergeCell ref="B83:C83"/>
    <mergeCell ref="B94:C94"/>
    <mergeCell ref="B95:C95"/>
    <mergeCell ref="B75:B77"/>
    <mergeCell ref="B34:C34"/>
    <mergeCell ref="B49:N49"/>
    <mergeCell ref="B67:C67"/>
    <mergeCell ref="B68:B69"/>
    <mergeCell ref="C68:C69"/>
    <mergeCell ref="D68:D69"/>
    <mergeCell ref="E68:W68"/>
    <mergeCell ref="E73:W73"/>
    <mergeCell ref="B70:B72"/>
    <mergeCell ref="B73:B74"/>
    <mergeCell ref="C73:C74"/>
    <mergeCell ref="D73:D7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13F1E-2725-4098-A2A5-BE88237AC52E}">
  <sheetPr>
    <tabColor theme="9" tint="0.59999389629810485"/>
    <outlinePr summaryBelow="0" summaryRight="0"/>
  </sheetPr>
  <dimension ref="B1:V1000"/>
  <sheetViews>
    <sheetView topLeftCell="Z34" workbookViewId="0">
      <selection activeCell="B21" sqref="B21"/>
    </sheetView>
  </sheetViews>
  <sheetFormatPr defaultColWidth="12.6640625" defaultRowHeight="15" customHeight="1"/>
  <cols>
    <col min="1" max="1" width="12.6640625" style="10"/>
    <col min="2" max="2" width="73" style="10" customWidth="1"/>
    <col min="3" max="3" width="21.21875" style="10" customWidth="1"/>
    <col min="4" max="16384" width="12.6640625" style="10"/>
  </cols>
  <sheetData>
    <row r="1" spans="2:22" ht="15.75" customHeight="1"/>
    <row r="2" spans="2:22" ht="15.75" customHeight="1"/>
    <row r="3" spans="2:22" ht="15.75" customHeight="1">
      <c r="B3" s="12" t="s">
        <v>114</v>
      </c>
      <c r="C3" s="12"/>
      <c r="D3" s="13">
        <v>2005</v>
      </c>
      <c r="E3" s="13">
        <v>2006</v>
      </c>
      <c r="F3" s="13">
        <v>2007</v>
      </c>
      <c r="G3" s="13">
        <v>2008</v>
      </c>
      <c r="H3" s="13">
        <v>2009</v>
      </c>
      <c r="I3" s="13">
        <v>2010</v>
      </c>
      <c r="J3" s="13">
        <v>2011</v>
      </c>
      <c r="K3" s="13">
        <v>2012</v>
      </c>
      <c r="L3" s="13">
        <v>2013</v>
      </c>
      <c r="M3" s="13">
        <v>2014</v>
      </c>
      <c r="N3" s="13">
        <v>2015</v>
      </c>
      <c r="O3" s="13">
        <v>2016</v>
      </c>
      <c r="P3" s="13">
        <v>2017</v>
      </c>
      <c r="Q3" s="13">
        <v>2018</v>
      </c>
      <c r="R3" s="14">
        <v>2019</v>
      </c>
      <c r="S3" s="14">
        <v>2020</v>
      </c>
      <c r="T3" s="14">
        <v>2021</v>
      </c>
      <c r="U3" s="14">
        <v>2022</v>
      </c>
      <c r="V3" s="14">
        <v>2023</v>
      </c>
    </row>
    <row r="4" spans="2:22" ht="15.75" customHeight="1">
      <c r="B4" s="15"/>
      <c r="C4" s="16"/>
      <c r="D4" s="17">
        <f>'State total population'!C5</f>
        <v>32989000</v>
      </c>
      <c r="E4" s="17">
        <f>'State total population'!D5</f>
        <v>33265000</v>
      </c>
      <c r="F4" s="17">
        <f>'State total population'!E5</f>
        <v>33535000</v>
      </c>
      <c r="G4" s="17">
        <f>'State total population'!F5</f>
        <v>33802000</v>
      </c>
      <c r="H4" s="17">
        <f>'State total population'!G5</f>
        <v>34063000</v>
      </c>
      <c r="I4" s="17">
        <f>'State total population'!H5</f>
        <v>34317000</v>
      </c>
      <c r="J4" s="17">
        <f>'State total population'!I5</f>
        <v>33406061</v>
      </c>
      <c r="K4" s="17">
        <f>'State total population'!J5</f>
        <v>33641000</v>
      </c>
      <c r="L4" s="17">
        <f>'State total population'!K5</f>
        <v>33875000</v>
      </c>
      <c r="M4" s="17">
        <f>'State total population'!L5</f>
        <v>34109000</v>
      </c>
      <c r="N4" s="17">
        <f>'State total population'!M5</f>
        <v>34344000</v>
      </c>
      <c r="O4" s="17">
        <f>'State total population'!N5</f>
        <v>34578000</v>
      </c>
      <c r="P4" s="17">
        <f>'State total population'!O5</f>
        <v>34761000</v>
      </c>
      <c r="Q4" s="17">
        <f>'State total population'!P5</f>
        <v>34943000</v>
      </c>
      <c r="R4" s="17">
        <f>'State total population'!Q5</f>
        <v>35125000</v>
      </c>
      <c r="S4" s="17">
        <f>'State total population'!R5</f>
        <v>35307000</v>
      </c>
      <c r="T4" s="17">
        <f>'State total population'!S5</f>
        <v>35489000</v>
      </c>
      <c r="U4" s="17">
        <f>'State total population'!T5</f>
        <v>35633000</v>
      </c>
      <c r="V4" s="17">
        <f>'State total population'!U5</f>
        <v>35776000</v>
      </c>
    </row>
    <row r="5" spans="2:22" ht="15.75" customHeight="1">
      <c r="B5" s="21"/>
      <c r="C5" s="19"/>
      <c r="D5" s="21"/>
      <c r="E5" s="19"/>
      <c r="F5" s="22"/>
      <c r="G5" s="22"/>
      <c r="H5" s="22"/>
      <c r="I5" s="22"/>
      <c r="J5" s="22"/>
      <c r="K5" s="22"/>
      <c r="L5" s="21"/>
      <c r="M5" s="21"/>
      <c r="N5" s="21"/>
      <c r="O5" s="21"/>
      <c r="P5" s="21"/>
      <c r="Q5" s="21"/>
      <c r="R5" s="55"/>
      <c r="S5" s="55"/>
      <c r="T5" s="55"/>
    </row>
    <row r="6" spans="2:22" ht="15.75" customHeight="1">
      <c r="B6" s="21"/>
      <c r="C6" s="19"/>
      <c r="D6" s="19"/>
      <c r="E6" s="19"/>
      <c r="F6" s="26"/>
      <c r="G6" s="26"/>
      <c r="H6" s="26"/>
      <c r="I6" s="26"/>
      <c r="J6" s="22"/>
      <c r="K6" s="26"/>
      <c r="L6" s="21"/>
      <c r="M6" s="21"/>
      <c r="N6" s="21"/>
      <c r="O6" s="21"/>
      <c r="P6" s="21"/>
      <c r="Q6" s="21"/>
      <c r="R6" s="55"/>
      <c r="S6" s="55"/>
      <c r="T6" s="55"/>
    </row>
    <row r="7" spans="2:22" ht="15.75" customHeight="1">
      <c r="B7" s="12" t="s">
        <v>115</v>
      </c>
      <c r="C7" s="12" t="s">
        <v>116</v>
      </c>
      <c r="D7" s="13">
        <v>2005</v>
      </c>
      <c r="E7" s="13">
        <v>2006</v>
      </c>
      <c r="F7" s="13">
        <v>2007</v>
      </c>
      <c r="G7" s="13">
        <v>2008</v>
      </c>
      <c r="H7" s="13">
        <v>2009</v>
      </c>
      <c r="I7" s="13">
        <v>2010</v>
      </c>
      <c r="J7" s="13">
        <v>2011</v>
      </c>
      <c r="K7" s="13">
        <v>2012</v>
      </c>
      <c r="L7" s="13">
        <v>2013</v>
      </c>
      <c r="M7" s="13">
        <v>2014</v>
      </c>
      <c r="N7" s="13">
        <v>2015</v>
      </c>
      <c r="O7" s="13">
        <v>2016</v>
      </c>
      <c r="P7" s="13">
        <v>2017</v>
      </c>
      <c r="Q7" s="13">
        <v>2018</v>
      </c>
      <c r="R7" s="14">
        <v>2019</v>
      </c>
      <c r="S7" s="14">
        <v>2020</v>
      </c>
      <c r="T7" s="14">
        <v>2021</v>
      </c>
      <c r="U7" s="14">
        <v>2022</v>
      </c>
      <c r="V7" s="14">
        <v>2023</v>
      </c>
    </row>
    <row r="8" spans="2:22" ht="15.75" customHeight="1">
      <c r="B8" s="15"/>
      <c r="C8" s="16"/>
      <c r="D8" s="80">
        <f>'Protein intake'!$C$8/1000*365</f>
        <v>20.695499999999999</v>
      </c>
      <c r="E8" s="80">
        <f>'Protein intake'!$C$8/1000*365</f>
        <v>20.695499999999999</v>
      </c>
      <c r="F8" s="80">
        <f>'Protein intake'!$C$8/1000*365</f>
        <v>20.695499999999999</v>
      </c>
      <c r="G8" s="80">
        <f>'Protein intake'!$C$8/1000*365</f>
        <v>20.695499999999999</v>
      </c>
      <c r="H8" s="80">
        <f>'Protein intake'!$G$8/1000*365</f>
        <v>20.786750000000001</v>
      </c>
      <c r="I8" s="80">
        <f>'Protein intake'!$G$8/1000*365</f>
        <v>20.786750000000001</v>
      </c>
      <c r="J8" s="80">
        <f>'Protein intake'!$M$8/1000*365</f>
        <v>21.80875</v>
      </c>
      <c r="K8" s="80">
        <f>'Protein intake'!$M$8/1000*365</f>
        <v>21.80875</v>
      </c>
      <c r="L8" s="80">
        <f>'Protein intake'!$M$8/1000*365</f>
        <v>21.80875</v>
      </c>
      <c r="M8" s="80">
        <f>'Protein intake'!$M$8/1000*365</f>
        <v>21.80875</v>
      </c>
      <c r="N8" s="80">
        <f>'Protein intake'!$M$8/1000*365</f>
        <v>21.80875</v>
      </c>
      <c r="O8" s="80">
        <f>'Protein intake'!$M$8/1000*365</f>
        <v>21.80875</v>
      </c>
      <c r="P8" s="80">
        <f>'Protein intake'!$M$8/1000*365</f>
        <v>21.80875</v>
      </c>
      <c r="Q8" s="80">
        <f>'Protein intake'!$M$8/1000*365</f>
        <v>21.80875</v>
      </c>
      <c r="R8" s="80">
        <f>'Protein intake'!$M$8/1000*365</f>
        <v>21.80875</v>
      </c>
      <c r="S8" s="80">
        <f>'Protein intake'!$M$8/1000*365</f>
        <v>21.80875</v>
      </c>
      <c r="T8" s="80">
        <f>'Protein intake'!$M$8/1000*365</f>
        <v>21.80875</v>
      </c>
      <c r="U8" s="80">
        <f>'Protein intake'!$M$8/1000*365</f>
        <v>21.80875</v>
      </c>
      <c r="V8" s="80">
        <f>'Protein intake'!$M$8/1000*365</f>
        <v>21.80875</v>
      </c>
    </row>
    <row r="9" spans="2:22" ht="15.75" customHeight="1">
      <c r="B9" s="21"/>
      <c r="C9" s="19"/>
      <c r="D9" s="34"/>
      <c r="E9" s="19"/>
      <c r="F9" s="22"/>
      <c r="G9" s="22"/>
      <c r="H9" s="22"/>
      <c r="I9" s="22"/>
      <c r="J9" s="22"/>
      <c r="K9" s="22"/>
      <c r="L9" s="21"/>
      <c r="M9" s="21"/>
      <c r="N9" s="21"/>
      <c r="O9" s="21"/>
      <c r="P9" s="21"/>
      <c r="Q9" s="21"/>
      <c r="R9" s="55"/>
      <c r="S9" s="55"/>
      <c r="T9" s="55"/>
    </row>
    <row r="10" spans="2:22" ht="15.75" customHeight="1">
      <c r="B10" s="21"/>
      <c r="C10" s="25"/>
      <c r="D10" s="25"/>
      <c r="E10" s="25"/>
      <c r="F10" s="26"/>
      <c r="G10" s="26"/>
      <c r="H10" s="26"/>
      <c r="I10" s="26"/>
      <c r="J10" s="26"/>
      <c r="K10" s="26"/>
      <c r="L10" s="21"/>
      <c r="M10" s="21"/>
      <c r="N10" s="21"/>
      <c r="O10" s="21"/>
      <c r="P10" s="21"/>
      <c r="Q10" s="21"/>
      <c r="R10" s="55"/>
      <c r="S10" s="55"/>
      <c r="T10" s="55"/>
    </row>
    <row r="11" spans="2:22" ht="15.75" customHeight="1">
      <c r="B11" s="12" t="s">
        <v>117</v>
      </c>
      <c r="C11" s="12"/>
      <c r="D11" s="13">
        <v>2005</v>
      </c>
      <c r="E11" s="13">
        <v>2006</v>
      </c>
      <c r="F11" s="13">
        <v>2007</v>
      </c>
      <c r="G11" s="13">
        <v>2008</v>
      </c>
      <c r="H11" s="13">
        <v>2009</v>
      </c>
      <c r="I11" s="13">
        <v>2010</v>
      </c>
      <c r="J11" s="13">
        <v>2011</v>
      </c>
      <c r="K11" s="13">
        <v>2012</v>
      </c>
      <c r="L11" s="13">
        <v>2013</v>
      </c>
      <c r="M11" s="13">
        <v>2014</v>
      </c>
      <c r="N11" s="13">
        <v>2015</v>
      </c>
      <c r="O11" s="13">
        <v>2016</v>
      </c>
      <c r="P11" s="13">
        <v>2017</v>
      </c>
      <c r="Q11" s="13">
        <v>2018</v>
      </c>
      <c r="R11" s="14">
        <v>2019</v>
      </c>
      <c r="S11" s="14">
        <v>2020</v>
      </c>
      <c r="T11" s="14">
        <v>2021</v>
      </c>
      <c r="U11" s="14">
        <v>2022</v>
      </c>
      <c r="V11" s="14">
        <v>2023</v>
      </c>
    </row>
    <row r="12" spans="2:22" ht="15.75" customHeight="1">
      <c r="B12" s="27"/>
      <c r="C12" s="28"/>
      <c r="D12" s="24">
        <v>0.16</v>
      </c>
      <c r="E12" s="24">
        <v>0.16</v>
      </c>
      <c r="F12" s="24">
        <v>0.16</v>
      </c>
      <c r="G12" s="24">
        <v>0.16</v>
      </c>
      <c r="H12" s="24">
        <v>0.16</v>
      </c>
      <c r="I12" s="24">
        <v>0.16</v>
      </c>
      <c r="J12" s="24">
        <v>0.16</v>
      </c>
      <c r="K12" s="24">
        <v>0.16</v>
      </c>
      <c r="L12" s="24">
        <v>0.16</v>
      </c>
      <c r="M12" s="24">
        <v>0.16</v>
      </c>
      <c r="N12" s="24">
        <v>0.16</v>
      </c>
      <c r="O12" s="24">
        <v>0.16</v>
      </c>
      <c r="P12" s="24">
        <v>0.16</v>
      </c>
      <c r="Q12" s="24">
        <v>0.16</v>
      </c>
      <c r="R12" s="24">
        <v>0.16</v>
      </c>
      <c r="S12" s="24">
        <v>0.16</v>
      </c>
      <c r="T12" s="24">
        <v>0.16</v>
      </c>
      <c r="U12" s="24">
        <v>0.16</v>
      </c>
      <c r="V12" s="24">
        <v>0.16</v>
      </c>
    </row>
    <row r="13" spans="2:22" ht="15.75" customHeight="1">
      <c r="B13" s="29"/>
      <c r="C13" s="25"/>
      <c r="D13" s="25"/>
      <c r="E13" s="25"/>
      <c r="F13" s="22"/>
      <c r="G13" s="22"/>
      <c r="H13" s="22"/>
      <c r="I13" s="22"/>
      <c r="J13" s="22"/>
      <c r="K13" s="22"/>
      <c r="L13" s="29"/>
      <c r="M13" s="29"/>
      <c r="N13" s="29"/>
      <c r="O13" s="21"/>
      <c r="P13" s="21"/>
      <c r="Q13" s="21"/>
      <c r="R13" s="55"/>
      <c r="S13" s="55"/>
      <c r="T13" s="55"/>
    </row>
    <row r="14" spans="2:22" ht="15.75" customHeight="1">
      <c r="B14" s="29"/>
      <c r="C14" s="25"/>
      <c r="D14" s="25"/>
      <c r="E14" s="25"/>
      <c r="F14" s="22"/>
      <c r="G14" s="22"/>
      <c r="H14" s="22"/>
      <c r="I14" s="22"/>
      <c r="J14" s="22"/>
      <c r="K14" s="22"/>
      <c r="L14" s="29"/>
      <c r="M14" s="29"/>
      <c r="N14" s="29"/>
      <c r="O14" s="21"/>
      <c r="P14" s="21"/>
      <c r="Q14" s="21"/>
      <c r="R14" s="55"/>
      <c r="S14" s="55"/>
      <c r="T14" s="55"/>
    </row>
    <row r="15" spans="2:22" ht="15.75" customHeight="1">
      <c r="B15" s="11" t="s">
        <v>118</v>
      </c>
      <c r="C15" s="12"/>
      <c r="D15" s="13">
        <v>2005</v>
      </c>
      <c r="E15" s="13">
        <v>2006</v>
      </c>
      <c r="F15" s="13">
        <v>2007</v>
      </c>
      <c r="G15" s="13">
        <v>2008</v>
      </c>
      <c r="H15" s="13">
        <v>2009</v>
      </c>
      <c r="I15" s="13">
        <v>2010</v>
      </c>
      <c r="J15" s="13">
        <v>2011</v>
      </c>
      <c r="K15" s="13">
        <v>2012</v>
      </c>
      <c r="L15" s="13">
        <v>2013</v>
      </c>
      <c r="M15" s="13">
        <v>2014</v>
      </c>
      <c r="N15" s="13">
        <v>2015</v>
      </c>
      <c r="O15" s="13">
        <v>2016</v>
      </c>
      <c r="P15" s="13">
        <v>2017</v>
      </c>
      <c r="Q15" s="13">
        <v>2018</v>
      </c>
      <c r="R15" s="14">
        <v>2019</v>
      </c>
      <c r="S15" s="14">
        <v>2020</v>
      </c>
      <c r="T15" s="14">
        <v>2021</v>
      </c>
      <c r="U15" s="14">
        <v>2022</v>
      </c>
      <c r="V15" s="14">
        <v>2023</v>
      </c>
    </row>
    <row r="16" spans="2:22" ht="15.75" customHeight="1">
      <c r="B16" s="27"/>
      <c r="C16" s="28"/>
      <c r="D16" s="24">
        <v>1.4</v>
      </c>
      <c r="E16" s="24">
        <v>1.4</v>
      </c>
      <c r="F16" s="24">
        <v>1.4</v>
      </c>
      <c r="G16" s="24">
        <v>1.4</v>
      </c>
      <c r="H16" s="24">
        <v>1.4</v>
      </c>
      <c r="I16" s="24">
        <v>1.4</v>
      </c>
      <c r="J16" s="24">
        <v>1.4</v>
      </c>
      <c r="K16" s="24">
        <v>1.4</v>
      </c>
      <c r="L16" s="24">
        <v>1.4</v>
      </c>
      <c r="M16" s="24">
        <v>1.4</v>
      </c>
      <c r="N16" s="24">
        <v>1.4</v>
      </c>
      <c r="O16" s="24">
        <v>1.4</v>
      </c>
      <c r="P16" s="24">
        <v>1.4</v>
      </c>
      <c r="Q16" s="24">
        <v>1.4</v>
      </c>
      <c r="R16" s="24">
        <v>1.4</v>
      </c>
      <c r="S16" s="24">
        <v>1.4</v>
      </c>
      <c r="T16" s="24">
        <v>1.4</v>
      </c>
      <c r="U16" s="24">
        <v>1.4</v>
      </c>
      <c r="V16" s="24">
        <v>1.4</v>
      </c>
    </row>
    <row r="17" spans="2:22" ht="15.75" customHeight="1">
      <c r="B17" s="29"/>
      <c r="C17" s="25"/>
      <c r="D17" s="25"/>
      <c r="E17" s="25"/>
      <c r="F17" s="22"/>
      <c r="G17" s="22"/>
      <c r="H17" s="22"/>
      <c r="I17" s="22"/>
      <c r="J17" s="22"/>
      <c r="K17" s="22"/>
      <c r="L17" s="29"/>
      <c r="M17" s="29"/>
      <c r="N17" s="29"/>
      <c r="O17" s="21"/>
      <c r="P17" s="21"/>
      <c r="Q17" s="21"/>
      <c r="R17" s="55"/>
      <c r="S17" s="55"/>
      <c r="T17" s="55"/>
    </row>
    <row r="18" spans="2:22" ht="15.75" customHeight="1">
      <c r="B18" s="29"/>
      <c r="C18" s="25"/>
      <c r="D18" s="25"/>
      <c r="E18" s="25"/>
      <c r="F18" s="22"/>
      <c r="G18" s="22"/>
      <c r="H18" s="22"/>
      <c r="I18" s="22"/>
      <c r="J18" s="22"/>
      <c r="K18" s="22"/>
      <c r="L18" s="29"/>
      <c r="M18" s="29"/>
      <c r="N18" s="29"/>
      <c r="O18" s="29"/>
      <c r="P18" s="29"/>
      <c r="Q18" s="29"/>
      <c r="R18" s="55"/>
      <c r="S18" s="55"/>
      <c r="T18" s="55"/>
    </row>
    <row r="19" spans="2:22" ht="15.75" customHeight="1">
      <c r="B19" s="12" t="s">
        <v>119</v>
      </c>
      <c r="C19" s="12"/>
      <c r="D19" s="13">
        <v>2005</v>
      </c>
      <c r="E19" s="13">
        <v>2006</v>
      </c>
      <c r="F19" s="13">
        <v>2007</v>
      </c>
      <c r="G19" s="13">
        <v>2008</v>
      </c>
      <c r="H19" s="13">
        <v>2009</v>
      </c>
      <c r="I19" s="13">
        <v>2010</v>
      </c>
      <c r="J19" s="13">
        <v>2011</v>
      </c>
      <c r="K19" s="13">
        <v>2012</v>
      </c>
      <c r="L19" s="13">
        <v>2013</v>
      </c>
      <c r="M19" s="13">
        <v>2014</v>
      </c>
      <c r="N19" s="13">
        <v>2015</v>
      </c>
      <c r="O19" s="13">
        <v>2016</v>
      </c>
      <c r="P19" s="13">
        <v>2017</v>
      </c>
      <c r="Q19" s="13">
        <v>2018</v>
      </c>
      <c r="R19" s="14">
        <v>2019</v>
      </c>
      <c r="S19" s="14">
        <v>2020</v>
      </c>
      <c r="T19" s="14">
        <v>2021</v>
      </c>
      <c r="U19" s="14">
        <v>2022</v>
      </c>
      <c r="V19" s="14">
        <v>2023</v>
      </c>
    </row>
    <row r="20" spans="2:22" ht="15.75" customHeight="1">
      <c r="B20" s="27"/>
      <c r="C20" s="28"/>
      <c r="D20" s="24">
        <v>1.25</v>
      </c>
      <c r="E20" s="24">
        <v>1.25</v>
      </c>
      <c r="F20" s="24">
        <v>1.25</v>
      </c>
      <c r="G20" s="24">
        <v>1.25</v>
      </c>
      <c r="H20" s="24">
        <v>1.25</v>
      </c>
      <c r="I20" s="24">
        <v>1.25</v>
      </c>
      <c r="J20" s="24">
        <v>1.25</v>
      </c>
      <c r="K20" s="24">
        <v>1.25</v>
      </c>
      <c r="L20" s="24">
        <v>1.25</v>
      </c>
      <c r="M20" s="24">
        <v>1.25</v>
      </c>
      <c r="N20" s="24">
        <v>1.25</v>
      </c>
      <c r="O20" s="24">
        <v>1.25</v>
      </c>
      <c r="P20" s="24">
        <v>1.25</v>
      </c>
      <c r="Q20" s="24">
        <v>1.25</v>
      </c>
      <c r="R20" s="24">
        <v>1.25</v>
      </c>
      <c r="S20" s="24">
        <v>1.25</v>
      </c>
      <c r="T20" s="24">
        <v>1.25</v>
      </c>
      <c r="U20" s="24">
        <v>1.25</v>
      </c>
      <c r="V20" s="24">
        <v>1.25</v>
      </c>
    </row>
    <row r="21" spans="2:22" ht="15.75" customHeight="1"/>
    <row r="22" spans="2:22" ht="15.75" customHeight="1">
      <c r="B22" s="12" t="s">
        <v>120</v>
      </c>
      <c r="C22" s="12"/>
      <c r="D22" s="19"/>
      <c r="E22" s="19"/>
      <c r="F22" s="26"/>
      <c r="G22" s="26"/>
      <c r="H22" s="26"/>
      <c r="I22" s="26"/>
      <c r="J22" s="26"/>
      <c r="K22" s="26"/>
      <c r="L22" s="22"/>
      <c r="M22" s="22"/>
      <c r="N22" s="22"/>
      <c r="O22" s="22"/>
      <c r="P22" s="22"/>
      <c r="Q22" s="22"/>
    </row>
    <row r="23" spans="2:22" ht="15.75" customHeight="1">
      <c r="B23" s="81">
        <v>0</v>
      </c>
      <c r="C23" s="16" t="s">
        <v>121</v>
      </c>
      <c r="D23" s="19"/>
      <c r="E23" s="19"/>
      <c r="F23" s="22"/>
      <c r="G23" s="22"/>
      <c r="H23" s="22"/>
      <c r="I23" s="22"/>
      <c r="J23" s="22"/>
      <c r="K23" s="22"/>
      <c r="L23" s="22"/>
      <c r="M23" s="22"/>
      <c r="N23" s="22"/>
      <c r="O23" s="22"/>
      <c r="P23" s="22"/>
      <c r="Q23" s="22"/>
    </row>
    <row r="24" spans="2:22" ht="15.75" customHeight="1">
      <c r="B24" s="82"/>
      <c r="C24" s="19"/>
      <c r="D24" s="19"/>
      <c r="E24" s="19"/>
      <c r="F24" s="22"/>
      <c r="G24" s="22"/>
      <c r="H24" s="22"/>
      <c r="I24" s="22"/>
      <c r="J24" s="22"/>
      <c r="K24" s="22"/>
      <c r="L24" s="22"/>
      <c r="M24" s="22"/>
      <c r="N24" s="22"/>
      <c r="O24" s="22"/>
      <c r="P24" s="22"/>
      <c r="Q24" s="22"/>
    </row>
    <row r="25" spans="2:22" ht="15.75" customHeight="1">
      <c r="B25" s="82"/>
      <c r="C25" s="19"/>
      <c r="D25" s="19"/>
      <c r="E25" s="19"/>
      <c r="F25" s="22"/>
      <c r="G25" s="22"/>
      <c r="H25" s="22"/>
      <c r="I25" s="22"/>
      <c r="J25" s="22"/>
      <c r="K25" s="22"/>
      <c r="L25" s="22"/>
      <c r="M25" s="22"/>
      <c r="N25" s="22"/>
      <c r="O25" s="22"/>
      <c r="P25" s="22"/>
      <c r="Q25" s="22"/>
    </row>
    <row r="26" spans="2:22" ht="15.75" customHeight="1">
      <c r="B26" s="12" t="s">
        <v>122</v>
      </c>
      <c r="C26" s="12" t="s">
        <v>121</v>
      </c>
      <c r="D26" s="13">
        <v>2005</v>
      </c>
      <c r="E26" s="13">
        <v>2006</v>
      </c>
      <c r="F26" s="13">
        <v>2007</v>
      </c>
      <c r="G26" s="13">
        <v>2008</v>
      </c>
      <c r="H26" s="13">
        <v>2009</v>
      </c>
      <c r="I26" s="13">
        <v>2010</v>
      </c>
      <c r="J26" s="13">
        <v>2011</v>
      </c>
      <c r="K26" s="13">
        <v>2012</v>
      </c>
      <c r="L26" s="13">
        <v>2013</v>
      </c>
      <c r="M26" s="13">
        <v>2014</v>
      </c>
      <c r="N26" s="13">
        <v>2015</v>
      </c>
      <c r="O26" s="13">
        <v>2016</v>
      </c>
      <c r="P26" s="13">
        <v>2017</v>
      </c>
      <c r="Q26" s="13">
        <v>2018</v>
      </c>
      <c r="R26" s="14">
        <v>2019</v>
      </c>
      <c r="S26" s="14">
        <v>2020</v>
      </c>
      <c r="T26" s="14">
        <v>2021</v>
      </c>
      <c r="U26" s="14">
        <v>2022</v>
      </c>
      <c r="V26" s="14">
        <v>2023</v>
      </c>
    </row>
    <row r="27" spans="2:22" ht="15.75" customHeight="1">
      <c r="B27" s="24"/>
      <c r="C27" s="16"/>
      <c r="D27" s="24">
        <f t="shared" ref="D27:V27" si="0">(D4*D8*D12*D16*D20)-$B$23</f>
        <v>191162677.85999998</v>
      </c>
      <c r="E27" s="24">
        <f t="shared" si="0"/>
        <v>192762026.09999999</v>
      </c>
      <c r="F27" s="24">
        <f t="shared" si="0"/>
        <v>194326605.90000001</v>
      </c>
      <c r="G27" s="24">
        <f t="shared" si="0"/>
        <v>195873801.47999999</v>
      </c>
      <c r="H27" s="24">
        <f t="shared" si="0"/>
        <v>198256538.26999998</v>
      </c>
      <c r="I27" s="24">
        <f t="shared" si="0"/>
        <v>199734891.93000001</v>
      </c>
      <c r="J27" s="24">
        <f t="shared" si="0"/>
        <v>203992441.19344997</v>
      </c>
      <c r="K27" s="24">
        <f t="shared" si="0"/>
        <v>205427084.44999999</v>
      </c>
      <c r="L27" s="24">
        <f t="shared" si="0"/>
        <v>206855993.75</v>
      </c>
      <c r="M27" s="24">
        <f t="shared" si="0"/>
        <v>208284903.05000001</v>
      </c>
      <c r="N27" s="24">
        <f t="shared" si="0"/>
        <v>209719918.79999998</v>
      </c>
      <c r="O27" s="24">
        <f t="shared" si="0"/>
        <v>211148828.09999999</v>
      </c>
      <c r="P27" s="24">
        <f t="shared" si="0"/>
        <v>212266308.44999999</v>
      </c>
      <c r="Q27" s="24">
        <f t="shared" si="0"/>
        <v>213377682.34999999</v>
      </c>
      <c r="R27" s="24">
        <f t="shared" si="0"/>
        <v>214489056.25</v>
      </c>
      <c r="S27" s="24">
        <f t="shared" si="0"/>
        <v>215600430.14999998</v>
      </c>
      <c r="T27" s="24">
        <f t="shared" si="0"/>
        <v>216711804.05000001</v>
      </c>
      <c r="U27" s="24">
        <f t="shared" si="0"/>
        <v>217591132.84999999</v>
      </c>
      <c r="V27" s="24">
        <f t="shared" si="0"/>
        <v>218464355.19999999</v>
      </c>
    </row>
    <row r="28" spans="2:22" ht="15.75" customHeight="1">
      <c r="B28" s="22"/>
      <c r="C28" s="19"/>
      <c r="D28" s="19"/>
      <c r="E28" s="19"/>
      <c r="F28" s="22"/>
      <c r="G28" s="22"/>
      <c r="H28" s="22"/>
      <c r="I28" s="22"/>
      <c r="J28" s="22"/>
      <c r="K28" s="22"/>
      <c r="L28" s="22"/>
      <c r="M28" s="22"/>
      <c r="N28" s="22"/>
      <c r="O28" s="22"/>
      <c r="P28" s="22"/>
      <c r="Q28" s="22"/>
    </row>
    <row r="29" spans="2:22" ht="15.75" customHeight="1">
      <c r="B29" s="22"/>
      <c r="C29" s="19"/>
      <c r="D29" s="19"/>
      <c r="E29" s="19"/>
      <c r="F29" s="22"/>
      <c r="G29" s="22"/>
      <c r="H29" s="22"/>
      <c r="I29" s="22"/>
      <c r="J29" s="22"/>
      <c r="K29" s="22"/>
      <c r="L29" s="22"/>
      <c r="M29" s="22"/>
      <c r="N29" s="22"/>
      <c r="O29" s="22"/>
      <c r="P29" s="22"/>
      <c r="Q29" s="22"/>
    </row>
    <row r="30" spans="2:22" ht="15.75" customHeight="1">
      <c r="B30" s="12" t="s">
        <v>123</v>
      </c>
      <c r="C30" s="12" t="s">
        <v>124</v>
      </c>
      <c r="D30" s="13">
        <v>2005</v>
      </c>
      <c r="E30" s="13">
        <v>2006</v>
      </c>
      <c r="F30" s="13">
        <v>2007</v>
      </c>
      <c r="G30" s="13">
        <v>2008</v>
      </c>
      <c r="H30" s="13">
        <v>2009</v>
      </c>
      <c r="I30" s="13">
        <v>2010</v>
      </c>
      <c r="J30" s="13">
        <v>2011</v>
      </c>
      <c r="K30" s="13">
        <v>2012</v>
      </c>
      <c r="L30" s="13">
        <v>2013</v>
      </c>
      <c r="M30" s="13">
        <v>2014</v>
      </c>
      <c r="N30" s="13">
        <v>2015</v>
      </c>
      <c r="O30" s="13">
        <v>2016</v>
      </c>
      <c r="P30" s="13">
        <v>2017</v>
      </c>
      <c r="Q30" s="13">
        <v>2018</v>
      </c>
      <c r="R30" s="14">
        <v>2019</v>
      </c>
      <c r="S30" s="14">
        <v>2020</v>
      </c>
      <c r="T30" s="14">
        <v>2021</v>
      </c>
      <c r="U30" s="14">
        <v>2022</v>
      </c>
      <c r="V30" s="14">
        <v>2023</v>
      </c>
    </row>
    <row r="31" spans="2:22" ht="15.75" customHeight="1">
      <c r="B31" s="24"/>
      <c r="C31" s="28"/>
      <c r="D31" s="80">
        <v>5.0000000000000001E-3</v>
      </c>
      <c r="E31" s="80">
        <v>5.0000000000000001E-3</v>
      </c>
      <c r="F31" s="80">
        <v>5.0000000000000001E-3</v>
      </c>
      <c r="G31" s="80">
        <v>5.0000000000000001E-3</v>
      </c>
      <c r="H31" s="80">
        <v>5.0000000000000001E-3</v>
      </c>
      <c r="I31" s="80">
        <v>5.0000000000000001E-3</v>
      </c>
      <c r="J31" s="80">
        <v>5.0000000000000001E-3</v>
      </c>
      <c r="K31" s="80">
        <v>5.0000000000000001E-3</v>
      </c>
      <c r="L31" s="80">
        <v>5.0000000000000001E-3</v>
      </c>
      <c r="M31" s="80">
        <v>5.0000000000000001E-3</v>
      </c>
      <c r="N31" s="80">
        <v>5.0000000000000001E-3</v>
      </c>
      <c r="O31" s="80">
        <v>5.0000000000000001E-3</v>
      </c>
      <c r="P31" s="80">
        <v>5.0000000000000001E-3</v>
      </c>
      <c r="Q31" s="80">
        <v>5.0000000000000001E-3</v>
      </c>
      <c r="R31" s="80">
        <v>5.0000000000000001E-3</v>
      </c>
      <c r="S31" s="80">
        <v>5.0000000000000001E-3</v>
      </c>
      <c r="T31" s="80">
        <v>5.0000000000000001E-3</v>
      </c>
      <c r="U31" s="80">
        <v>5.0000000000000001E-3</v>
      </c>
      <c r="V31" s="80">
        <v>5.0000000000000001E-3</v>
      </c>
    </row>
    <row r="32" spans="2:22" ht="15.75" customHeight="1"/>
    <row r="33" spans="2:22" ht="15.75" customHeight="1">
      <c r="B33" s="83" t="s">
        <v>125</v>
      </c>
      <c r="C33" s="21"/>
      <c r="D33" s="21"/>
      <c r="E33" s="21"/>
      <c r="F33" s="22"/>
      <c r="G33" s="22"/>
      <c r="H33" s="22"/>
      <c r="I33" s="22"/>
      <c r="J33" s="22"/>
      <c r="K33" s="22"/>
      <c r="L33" s="22"/>
      <c r="M33" s="22"/>
      <c r="N33" s="22"/>
      <c r="O33" s="22"/>
      <c r="P33" s="22"/>
      <c r="Q33" s="22"/>
    </row>
    <row r="34" spans="2:22" ht="15.75" customHeight="1">
      <c r="B34" s="84">
        <f>44/28</f>
        <v>1.5714285714285714</v>
      </c>
      <c r="C34" s="19"/>
      <c r="D34" s="19"/>
      <c r="E34" s="19"/>
      <c r="F34" s="22"/>
      <c r="G34" s="22"/>
      <c r="H34" s="22"/>
      <c r="I34" s="22"/>
      <c r="J34" s="22"/>
      <c r="K34" s="22"/>
      <c r="L34" s="22"/>
      <c r="M34" s="22"/>
      <c r="N34" s="22"/>
      <c r="O34" s="22"/>
      <c r="P34" s="22"/>
      <c r="Q34" s="22"/>
    </row>
    <row r="35" spans="2:22" ht="15.75" customHeight="1">
      <c r="B35" s="25"/>
      <c r="C35" s="22"/>
      <c r="D35" s="22"/>
      <c r="E35" s="22"/>
      <c r="F35" s="22"/>
      <c r="G35" s="22"/>
      <c r="H35" s="22"/>
      <c r="I35" s="22"/>
      <c r="J35" s="22"/>
      <c r="K35" s="22"/>
      <c r="L35" s="22"/>
      <c r="M35" s="22"/>
      <c r="N35" s="22"/>
      <c r="O35" s="22"/>
      <c r="P35" s="22"/>
      <c r="Q35" s="22"/>
    </row>
    <row r="36" spans="2:22" ht="15.75" customHeight="1">
      <c r="B36" s="22"/>
      <c r="C36" s="25"/>
      <c r="D36" s="25"/>
      <c r="E36" s="25"/>
      <c r="F36" s="22"/>
      <c r="G36" s="22"/>
      <c r="H36" s="22"/>
      <c r="I36" s="22"/>
      <c r="J36" s="22"/>
      <c r="K36" s="22"/>
      <c r="L36" s="22"/>
      <c r="M36" s="22"/>
      <c r="N36" s="22"/>
      <c r="O36" s="22"/>
      <c r="P36" s="22"/>
      <c r="Q36" s="22"/>
    </row>
    <row r="37" spans="2:22" ht="15.75" customHeight="1">
      <c r="B37" s="686" t="s">
        <v>126</v>
      </c>
      <c r="C37" s="672"/>
      <c r="D37" s="13">
        <v>2005</v>
      </c>
      <c r="E37" s="13">
        <v>2006</v>
      </c>
      <c r="F37" s="13">
        <v>2007</v>
      </c>
      <c r="G37" s="13">
        <v>2008</v>
      </c>
      <c r="H37" s="13">
        <v>2009</v>
      </c>
      <c r="I37" s="13">
        <v>2010</v>
      </c>
      <c r="J37" s="13">
        <v>2011</v>
      </c>
      <c r="K37" s="13">
        <v>2012</v>
      </c>
      <c r="L37" s="13">
        <v>2013</v>
      </c>
      <c r="M37" s="13">
        <v>2014</v>
      </c>
      <c r="N37" s="13">
        <v>2015</v>
      </c>
      <c r="O37" s="13">
        <v>2016</v>
      </c>
      <c r="P37" s="13">
        <v>2017</v>
      </c>
      <c r="Q37" s="13">
        <v>2018</v>
      </c>
      <c r="R37" s="14">
        <v>2019</v>
      </c>
      <c r="S37" s="14">
        <v>2020</v>
      </c>
      <c r="T37" s="14">
        <v>2021</v>
      </c>
      <c r="U37" s="14">
        <v>2022</v>
      </c>
      <c r="V37" s="14">
        <v>2023</v>
      </c>
    </row>
    <row r="38" spans="2:22" ht="15.75" customHeight="1">
      <c r="B38" s="15"/>
      <c r="C38" s="16"/>
      <c r="D38" s="85">
        <f t="shared" ref="D38:V38" si="1">D27*D31*$B$34/10^3</f>
        <v>1501.9924688999997</v>
      </c>
      <c r="E38" s="85">
        <f t="shared" si="1"/>
        <v>1514.5587765</v>
      </c>
      <c r="F38" s="85">
        <f t="shared" si="1"/>
        <v>1526.8519034999999</v>
      </c>
      <c r="G38" s="85">
        <f t="shared" si="1"/>
        <v>1539.0084402</v>
      </c>
      <c r="H38" s="85">
        <f t="shared" si="1"/>
        <v>1557.7299435499999</v>
      </c>
      <c r="I38" s="85">
        <f t="shared" si="1"/>
        <v>1569.3455794500001</v>
      </c>
      <c r="J38" s="85">
        <f t="shared" si="1"/>
        <v>1602.7977522342499</v>
      </c>
      <c r="K38" s="85">
        <f t="shared" si="1"/>
        <v>1614.0699492499998</v>
      </c>
      <c r="L38" s="85">
        <f t="shared" si="1"/>
        <v>1625.2970937499999</v>
      </c>
      <c r="M38" s="85">
        <f t="shared" si="1"/>
        <v>1636.5242382500003</v>
      </c>
      <c r="N38" s="85">
        <f t="shared" si="1"/>
        <v>1647.799362</v>
      </c>
      <c r="O38" s="85">
        <f t="shared" si="1"/>
        <v>1659.0265064999999</v>
      </c>
      <c r="P38" s="85">
        <f t="shared" si="1"/>
        <v>1667.8067092499998</v>
      </c>
      <c r="Q38" s="85">
        <f t="shared" si="1"/>
        <v>1676.53893275</v>
      </c>
      <c r="R38" s="85">
        <f t="shared" si="1"/>
        <v>1685.2711562500001</v>
      </c>
      <c r="S38" s="85">
        <f t="shared" si="1"/>
        <v>1694.0033797499996</v>
      </c>
      <c r="T38" s="85">
        <f t="shared" si="1"/>
        <v>1702.7356032500002</v>
      </c>
      <c r="U38" s="85">
        <f t="shared" si="1"/>
        <v>1709.6446152499998</v>
      </c>
      <c r="V38" s="85">
        <f t="shared" si="1"/>
        <v>1716.5056480000001</v>
      </c>
    </row>
    <row r="39" spans="2:22" ht="15.75" customHeight="1">
      <c r="B39" s="21"/>
      <c r="C39" s="19"/>
      <c r="D39" s="19"/>
      <c r="E39" s="19"/>
      <c r="F39" s="35"/>
      <c r="G39" s="35"/>
      <c r="H39" s="35"/>
      <c r="I39" s="35"/>
      <c r="J39" s="35"/>
      <c r="K39" s="35"/>
      <c r="L39" s="29"/>
      <c r="M39" s="29"/>
      <c r="N39" s="29"/>
      <c r="O39" s="29"/>
      <c r="P39" s="29"/>
      <c r="Q39" s="29"/>
    </row>
    <row r="40" spans="2:22" ht="15.75" customHeight="1">
      <c r="B40" s="29"/>
      <c r="C40" s="25"/>
      <c r="D40" s="25"/>
      <c r="E40" s="25"/>
      <c r="F40" s="29"/>
      <c r="G40" s="29"/>
      <c r="H40" s="29"/>
      <c r="I40" s="29"/>
      <c r="J40" s="29"/>
      <c r="K40" s="29"/>
      <c r="L40" s="29"/>
      <c r="M40" s="29"/>
      <c r="N40" s="29"/>
      <c r="O40" s="29"/>
      <c r="P40" s="29"/>
      <c r="Q40" s="29"/>
    </row>
    <row r="41" spans="2:22" ht="15.75" customHeight="1">
      <c r="B41" s="686" t="s">
        <v>127</v>
      </c>
      <c r="C41" s="672"/>
      <c r="D41" s="13">
        <v>2005</v>
      </c>
      <c r="E41" s="13">
        <v>2006</v>
      </c>
      <c r="F41" s="13">
        <v>2007</v>
      </c>
      <c r="G41" s="13">
        <v>2008</v>
      </c>
      <c r="H41" s="13">
        <v>2009</v>
      </c>
      <c r="I41" s="13">
        <v>2010</v>
      </c>
      <c r="J41" s="13">
        <v>2011</v>
      </c>
      <c r="K41" s="13">
        <v>2012</v>
      </c>
      <c r="L41" s="13">
        <v>2013</v>
      </c>
      <c r="M41" s="13">
        <v>2014</v>
      </c>
      <c r="N41" s="13">
        <v>2015</v>
      </c>
      <c r="O41" s="13">
        <v>2016</v>
      </c>
      <c r="P41" s="13">
        <v>2017</v>
      </c>
      <c r="Q41" s="13">
        <v>2018</v>
      </c>
      <c r="R41" s="14">
        <v>2019</v>
      </c>
      <c r="S41" s="14">
        <v>2020</v>
      </c>
      <c r="T41" s="14">
        <v>2021</v>
      </c>
      <c r="U41" s="14">
        <v>2022</v>
      </c>
      <c r="V41" s="14">
        <v>2023</v>
      </c>
    </row>
    <row r="42" spans="2:22" ht="15.75" customHeight="1">
      <c r="B42" s="15"/>
      <c r="C42" s="16"/>
      <c r="D42" s="86">
        <f t="shared" ref="D42:V42" si="2">D38*310</f>
        <v>465617.66535899992</v>
      </c>
      <c r="E42" s="86">
        <f t="shared" si="2"/>
        <v>469513.220715</v>
      </c>
      <c r="F42" s="86">
        <f t="shared" si="2"/>
        <v>473324.09008499997</v>
      </c>
      <c r="G42" s="86">
        <f t="shared" si="2"/>
        <v>477092.61646200001</v>
      </c>
      <c r="H42" s="86">
        <f t="shared" si="2"/>
        <v>482896.28250049998</v>
      </c>
      <c r="I42" s="86">
        <f t="shared" si="2"/>
        <v>486497.12962950004</v>
      </c>
      <c r="J42" s="86">
        <f t="shared" si="2"/>
        <v>496867.30319261743</v>
      </c>
      <c r="K42" s="86">
        <f t="shared" si="2"/>
        <v>500361.68426749995</v>
      </c>
      <c r="L42" s="86">
        <f t="shared" si="2"/>
        <v>503842.0990625</v>
      </c>
      <c r="M42" s="86">
        <f t="shared" si="2"/>
        <v>507322.5138575001</v>
      </c>
      <c r="N42" s="86">
        <f t="shared" si="2"/>
        <v>510817.80222000001</v>
      </c>
      <c r="O42" s="86">
        <f t="shared" si="2"/>
        <v>514298.21701499994</v>
      </c>
      <c r="P42" s="86">
        <f t="shared" si="2"/>
        <v>517020.07986749994</v>
      </c>
      <c r="Q42" s="86">
        <f t="shared" si="2"/>
        <v>519727.06915250001</v>
      </c>
      <c r="R42" s="86">
        <f t="shared" si="2"/>
        <v>522434.05843750003</v>
      </c>
      <c r="S42" s="86">
        <f t="shared" si="2"/>
        <v>525141.04772249982</v>
      </c>
      <c r="T42" s="86">
        <f t="shared" si="2"/>
        <v>527848.03700750007</v>
      </c>
      <c r="U42" s="86">
        <f t="shared" si="2"/>
        <v>529989.83072749991</v>
      </c>
      <c r="V42" s="86">
        <f t="shared" si="2"/>
        <v>532116.75088000007</v>
      </c>
    </row>
    <row r="43" spans="2:22" ht="15.75" customHeight="1"/>
    <row r="44" spans="2:22" ht="15.75" customHeight="1">
      <c r="B44" s="686" t="s">
        <v>128</v>
      </c>
      <c r="C44" s="672"/>
      <c r="D44" s="13">
        <v>2005</v>
      </c>
      <c r="E44" s="13">
        <v>2006</v>
      </c>
      <c r="F44" s="13">
        <v>2007</v>
      </c>
      <c r="G44" s="13">
        <v>2008</v>
      </c>
      <c r="H44" s="13">
        <v>2009</v>
      </c>
      <c r="I44" s="13">
        <v>2010</v>
      </c>
      <c r="J44" s="13">
        <v>2011</v>
      </c>
      <c r="K44" s="13">
        <v>2012</v>
      </c>
      <c r="L44" s="13">
        <v>2013</v>
      </c>
      <c r="M44" s="13">
        <v>2014</v>
      </c>
      <c r="N44" s="13">
        <v>2015</v>
      </c>
      <c r="O44" s="13">
        <v>2016</v>
      </c>
      <c r="P44" s="13">
        <v>2017</v>
      </c>
      <c r="Q44" s="13">
        <v>2018</v>
      </c>
      <c r="R44" s="14">
        <v>2019</v>
      </c>
      <c r="S44" s="14">
        <v>2020</v>
      </c>
      <c r="T44" s="14">
        <v>2021</v>
      </c>
      <c r="U44" s="14">
        <v>2022</v>
      </c>
      <c r="V44" s="14">
        <v>2023</v>
      </c>
    </row>
    <row r="45" spans="2:22" ht="15.75" customHeight="1">
      <c r="B45" s="79"/>
      <c r="C45" s="79"/>
      <c r="D45" s="75">
        <f t="shared" ref="D45:V45" si="3">D38*273</f>
        <v>410043.94400969992</v>
      </c>
      <c r="E45" s="75">
        <f t="shared" si="3"/>
        <v>413474.54598450003</v>
      </c>
      <c r="F45" s="75">
        <f t="shared" si="3"/>
        <v>416830.5696555</v>
      </c>
      <c r="G45" s="75">
        <f t="shared" si="3"/>
        <v>420149.30417459999</v>
      </c>
      <c r="H45" s="75">
        <f t="shared" si="3"/>
        <v>425260.27458914998</v>
      </c>
      <c r="I45" s="75">
        <f t="shared" si="3"/>
        <v>428431.34318985004</v>
      </c>
      <c r="J45" s="75">
        <f t="shared" si="3"/>
        <v>437563.7863599502</v>
      </c>
      <c r="K45" s="75">
        <f t="shared" si="3"/>
        <v>440641.09614524996</v>
      </c>
      <c r="L45" s="75">
        <f t="shared" si="3"/>
        <v>443706.10659375001</v>
      </c>
      <c r="M45" s="75">
        <f t="shared" si="3"/>
        <v>446771.11704225006</v>
      </c>
      <c r="N45" s="75">
        <f t="shared" si="3"/>
        <v>449849.22582599998</v>
      </c>
      <c r="O45" s="75">
        <f t="shared" si="3"/>
        <v>452914.23627449997</v>
      </c>
      <c r="P45" s="75">
        <f t="shared" si="3"/>
        <v>455311.23162524996</v>
      </c>
      <c r="Q45" s="75">
        <f t="shared" si="3"/>
        <v>457695.12864075002</v>
      </c>
      <c r="R45" s="75">
        <f t="shared" si="3"/>
        <v>460079.02565625001</v>
      </c>
      <c r="S45" s="75">
        <f t="shared" si="3"/>
        <v>462462.9226717499</v>
      </c>
      <c r="T45" s="75">
        <f t="shared" si="3"/>
        <v>464846.81968725007</v>
      </c>
      <c r="U45" s="75">
        <f t="shared" si="3"/>
        <v>466732.97996324993</v>
      </c>
      <c r="V45" s="75">
        <f t="shared" si="3"/>
        <v>468606.04190400004</v>
      </c>
    </row>
    <row r="46" spans="2:22" ht="15.75" customHeight="1"/>
    <row r="47" spans="2:22" ht="15.75" customHeight="1"/>
    <row r="48" spans="2:22" ht="15.75" customHeight="1">
      <c r="B48" s="686" t="s">
        <v>111</v>
      </c>
      <c r="C48" s="672"/>
      <c r="D48" s="13">
        <v>2005</v>
      </c>
      <c r="E48" s="13">
        <v>2006</v>
      </c>
      <c r="F48" s="13">
        <v>2007</v>
      </c>
      <c r="G48" s="13">
        <v>2008</v>
      </c>
      <c r="H48" s="13">
        <v>2009</v>
      </c>
      <c r="I48" s="13">
        <v>2010</v>
      </c>
      <c r="J48" s="13">
        <v>2011</v>
      </c>
      <c r="K48" s="13">
        <v>2012</v>
      </c>
      <c r="L48" s="13">
        <v>2013</v>
      </c>
      <c r="M48" s="13">
        <v>2014</v>
      </c>
      <c r="N48" s="13">
        <v>2015</v>
      </c>
      <c r="O48" s="13">
        <v>2016</v>
      </c>
      <c r="P48" s="13">
        <v>2017</v>
      </c>
      <c r="Q48" s="13">
        <v>2018</v>
      </c>
      <c r="R48" s="14">
        <v>2019</v>
      </c>
      <c r="S48" s="14">
        <v>2020</v>
      </c>
      <c r="T48" s="14">
        <v>2021</v>
      </c>
      <c r="U48" s="14">
        <v>2022</v>
      </c>
      <c r="V48" s="14">
        <v>2023</v>
      </c>
    </row>
    <row r="49" spans="2:22" ht="15.75" customHeight="1">
      <c r="B49" s="79"/>
      <c r="C49" s="79"/>
      <c r="D49" s="75">
        <f t="shared" ref="D49:V49" si="4">D38*233</f>
        <v>349964.24525369995</v>
      </c>
      <c r="E49" s="75">
        <f t="shared" si="4"/>
        <v>352892.19492450001</v>
      </c>
      <c r="F49" s="75">
        <f t="shared" si="4"/>
        <v>355756.49351549998</v>
      </c>
      <c r="G49" s="75">
        <f t="shared" si="4"/>
        <v>358588.96656660002</v>
      </c>
      <c r="H49" s="75">
        <f t="shared" si="4"/>
        <v>362951.07684714999</v>
      </c>
      <c r="I49" s="75">
        <f t="shared" si="4"/>
        <v>365657.52001184999</v>
      </c>
      <c r="J49" s="75">
        <f t="shared" si="4"/>
        <v>373451.87627058022</v>
      </c>
      <c r="K49" s="75">
        <f t="shared" si="4"/>
        <v>376078.29817524995</v>
      </c>
      <c r="L49" s="75">
        <f t="shared" si="4"/>
        <v>378694.22284374997</v>
      </c>
      <c r="M49" s="75">
        <f t="shared" si="4"/>
        <v>381310.14751225006</v>
      </c>
      <c r="N49" s="75">
        <f t="shared" si="4"/>
        <v>383937.251346</v>
      </c>
      <c r="O49" s="75">
        <f t="shared" si="4"/>
        <v>386553.17601449997</v>
      </c>
      <c r="P49" s="75">
        <f t="shared" si="4"/>
        <v>388598.96325524995</v>
      </c>
      <c r="Q49" s="75">
        <f t="shared" si="4"/>
        <v>390633.57133075001</v>
      </c>
      <c r="R49" s="75">
        <f t="shared" si="4"/>
        <v>392668.17940625001</v>
      </c>
      <c r="S49" s="75">
        <f t="shared" si="4"/>
        <v>394702.7874817499</v>
      </c>
      <c r="T49" s="75">
        <f t="shared" si="4"/>
        <v>396737.39555725001</v>
      </c>
      <c r="U49" s="75">
        <f t="shared" si="4"/>
        <v>398347.19535324996</v>
      </c>
      <c r="V49" s="75">
        <f t="shared" si="4"/>
        <v>399945.81598399999</v>
      </c>
    </row>
    <row r="50" spans="2:22" ht="15.75" customHeight="1"/>
    <row r="51" spans="2:22" ht="15.75" customHeight="1"/>
    <row r="52" spans="2:22" ht="15.75" customHeight="1"/>
    <row r="53" spans="2:22" ht="15.75" customHeight="1"/>
    <row r="54" spans="2:22" ht="15.75" customHeight="1"/>
    <row r="55" spans="2:22" ht="15.75" customHeight="1"/>
    <row r="56" spans="2:22" ht="15.75" customHeight="1"/>
    <row r="57" spans="2:22" ht="15.75" customHeight="1"/>
    <row r="58" spans="2:22" ht="15.75" customHeight="1"/>
    <row r="59" spans="2:22" ht="15.75" customHeight="1"/>
    <row r="60" spans="2:22" ht="15.75" customHeight="1"/>
    <row r="61" spans="2:22" ht="15.75" customHeight="1"/>
    <row r="62" spans="2:22" ht="15.75" customHeight="1"/>
    <row r="63" spans="2:22" ht="15.75" customHeight="1"/>
    <row r="64" spans="2: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37:C37"/>
    <mergeCell ref="B41:C41"/>
    <mergeCell ref="B44:C44"/>
    <mergeCell ref="B48:C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C30C5-1A25-4D1C-B6D8-849769A48085}">
  <sheetPr>
    <tabColor theme="9" tint="0.59999389629810485"/>
    <outlinePr summaryBelow="0" summaryRight="0"/>
  </sheetPr>
  <dimension ref="A1:Z1005"/>
  <sheetViews>
    <sheetView workbookViewId="0">
      <selection activeCell="B21" sqref="B21"/>
    </sheetView>
  </sheetViews>
  <sheetFormatPr defaultColWidth="12.6640625" defaultRowHeight="15" customHeight="1"/>
  <cols>
    <col min="1" max="1" width="12.6640625" style="10"/>
    <col min="2" max="2" width="18.109375" style="10" customWidth="1"/>
    <col min="3" max="6" width="12.6640625" style="10"/>
    <col min="7" max="7" width="19.88671875" style="10" customWidth="1"/>
    <col min="8" max="16384" width="12.6640625" style="10"/>
  </cols>
  <sheetData>
    <row r="1" spans="1:26" ht="15.75" customHeight="1">
      <c r="A1" s="87"/>
      <c r="B1" s="87"/>
      <c r="C1" s="87"/>
      <c r="D1" s="87"/>
      <c r="E1" s="87"/>
      <c r="F1" s="87"/>
      <c r="G1" s="87"/>
      <c r="H1" s="87"/>
      <c r="I1" s="87"/>
      <c r="J1" s="87"/>
      <c r="K1" s="87"/>
      <c r="L1" s="87"/>
      <c r="M1" s="87"/>
      <c r="N1" s="87"/>
      <c r="O1" s="87"/>
      <c r="P1" s="87"/>
      <c r="Q1" s="87"/>
      <c r="R1" s="87"/>
      <c r="S1" s="87"/>
      <c r="T1" s="87"/>
      <c r="U1" s="87"/>
      <c r="V1" s="87"/>
      <c r="W1" s="87"/>
      <c r="X1" s="87"/>
      <c r="Y1" s="87"/>
      <c r="Z1" s="87"/>
    </row>
    <row r="2" spans="1:26" ht="15.75" customHeight="1">
      <c r="B2" s="88" t="s">
        <v>129</v>
      </c>
      <c r="C2" s="87"/>
      <c r="D2" s="87"/>
      <c r="E2" s="87"/>
      <c r="F2" s="87"/>
      <c r="G2" s="87"/>
      <c r="H2" s="87"/>
      <c r="I2" s="87"/>
      <c r="J2" s="87"/>
      <c r="K2" s="87"/>
      <c r="L2" s="87"/>
      <c r="M2" s="87"/>
      <c r="N2" s="87"/>
      <c r="O2" s="87"/>
      <c r="P2" s="87"/>
      <c r="Q2" s="87"/>
      <c r="R2" s="87"/>
      <c r="S2" s="87"/>
      <c r="T2" s="87"/>
      <c r="U2" s="87"/>
      <c r="V2" s="87"/>
      <c r="W2" s="87"/>
      <c r="X2" s="87"/>
      <c r="Y2" s="87"/>
      <c r="Z2" s="87"/>
    </row>
    <row r="3" spans="1:26" ht="15.75" customHeight="1">
      <c r="A3" s="87"/>
      <c r="B3" s="88"/>
      <c r="C3" s="88"/>
      <c r="D3" s="88"/>
      <c r="E3" s="88"/>
      <c r="F3" s="88"/>
      <c r="G3" s="88"/>
      <c r="H3" s="88"/>
      <c r="I3" s="88"/>
      <c r="J3" s="88"/>
      <c r="K3" s="88"/>
      <c r="L3" s="88"/>
      <c r="M3" s="88"/>
      <c r="N3" s="88"/>
      <c r="O3" s="88"/>
      <c r="P3" s="88"/>
      <c r="Q3" s="88"/>
      <c r="R3" s="88"/>
      <c r="S3" s="88"/>
      <c r="T3" s="89"/>
      <c r="U3" s="88"/>
      <c r="V3" s="87"/>
      <c r="W3" s="87"/>
      <c r="X3" s="87"/>
      <c r="Y3" s="87"/>
      <c r="Z3" s="87"/>
    </row>
    <row r="4" spans="1:26" ht="15.75" customHeight="1">
      <c r="A4" s="90"/>
      <c r="B4" s="91" t="s">
        <v>8</v>
      </c>
      <c r="C4" s="91">
        <v>2005</v>
      </c>
      <c r="D4" s="91">
        <v>2006</v>
      </c>
      <c r="E4" s="91">
        <v>2007</v>
      </c>
      <c r="F4" s="91">
        <v>2008</v>
      </c>
      <c r="G4" s="91">
        <v>2009</v>
      </c>
      <c r="H4" s="91">
        <v>2010</v>
      </c>
      <c r="I4" s="91">
        <v>2011</v>
      </c>
      <c r="J4" s="91">
        <v>2012</v>
      </c>
      <c r="K4" s="91">
        <v>2013</v>
      </c>
      <c r="L4" s="91">
        <v>2014</v>
      </c>
      <c r="M4" s="91">
        <v>2015</v>
      </c>
      <c r="N4" s="91">
        <v>2016</v>
      </c>
      <c r="O4" s="91">
        <v>2017</v>
      </c>
      <c r="P4" s="91">
        <v>2018</v>
      </c>
      <c r="Q4" s="91">
        <v>2019</v>
      </c>
      <c r="R4" s="91">
        <v>2020</v>
      </c>
      <c r="S4" s="91">
        <v>2021</v>
      </c>
      <c r="T4" s="92">
        <v>2022</v>
      </c>
      <c r="U4" s="91">
        <v>2023</v>
      </c>
      <c r="V4" s="90"/>
      <c r="W4" s="90"/>
      <c r="X4" s="90"/>
      <c r="Y4" s="90"/>
      <c r="Z4" s="90"/>
    </row>
    <row r="5" spans="1:26" ht="15.75" customHeight="1">
      <c r="A5" s="87"/>
      <c r="B5" s="93" t="s">
        <v>130</v>
      </c>
      <c r="C5" s="94">
        <v>32989000</v>
      </c>
      <c r="D5" s="94">
        <v>33265000</v>
      </c>
      <c r="E5" s="94">
        <v>33535000</v>
      </c>
      <c r="F5" s="94">
        <v>33802000</v>
      </c>
      <c r="G5" s="94">
        <v>34063000</v>
      </c>
      <c r="H5" s="94">
        <v>34317000</v>
      </c>
      <c r="I5" s="94">
        <v>33406061</v>
      </c>
      <c r="J5" s="94">
        <v>33641000</v>
      </c>
      <c r="K5" s="94">
        <v>33875000</v>
      </c>
      <c r="L5" s="94">
        <v>34109000</v>
      </c>
      <c r="M5" s="94">
        <v>34344000</v>
      </c>
      <c r="N5" s="94">
        <v>34578000</v>
      </c>
      <c r="O5" s="94">
        <v>34761000</v>
      </c>
      <c r="P5" s="94">
        <v>34943000</v>
      </c>
      <c r="Q5" s="94">
        <v>35125000</v>
      </c>
      <c r="R5" s="94">
        <v>35307000</v>
      </c>
      <c r="S5" s="94">
        <v>35489000</v>
      </c>
      <c r="T5" s="94">
        <v>35633000</v>
      </c>
      <c r="U5" s="94">
        <v>35776000</v>
      </c>
      <c r="V5" s="87"/>
      <c r="W5" s="87"/>
      <c r="X5" s="87"/>
      <c r="Y5" s="87"/>
      <c r="Z5" s="87"/>
    </row>
    <row r="6" spans="1:26" ht="15.75" customHeight="1">
      <c r="A6" s="87"/>
      <c r="B6" s="95" t="s">
        <v>2</v>
      </c>
      <c r="C6" s="96">
        <v>8508000</v>
      </c>
      <c r="D6" s="96">
        <v>8565000</v>
      </c>
      <c r="E6" s="96">
        <v>8621000</v>
      </c>
      <c r="F6" s="96">
        <v>8675000</v>
      </c>
      <c r="G6" s="96">
        <v>8727000</v>
      </c>
      <c r="H6" s="96">
        <v>8778000</v>
      </c>
      <c r="I6" s="96">
        <v>15934926</v>
      </c>
      <c r="J6" s="96">
        <v>16849000</v>
      </c>
      <c r="K6" s="96">
        <v>17774000</v>
      </c>
      <c r="L6" s="96">
        <v>18709000</v>
      </c>
      <c r="M6" s="96">
        <v>19653000</v>
      </c>
      <c r="N6" s="96">
        <v>20602000</v>
      </c>
      <c r="O6" s="96">
        <v>21524000</v>
      </c>
      <c r="P6" s="96">
        <v>22447000</v>
      </c>
      <c r="Q6" s="96">
        <v>23369000</v>
      </c>
      <c r="R6" s="96">
        <v>24287000</v>
      </c>
      <c r="S6" s="96">
        <v>25200000</v>
      </c>
      <c r="T6" s="96">
        <v>26079000</v>
      </c>
      <c r="U6" s="96">
        <v>26947000</v>
      </c>
      <c r="V6" s="97"/>
      <c r="W6" s="97"/>
      <c r="X6" s="87"/>
      <c r="Y6" s="87"/>
      <c r="Z6" s="87"/>
    </row>
    <row r="7" spans="1:26" ht="15.75" customHeight="1">
      <c r="A7" s="87"/>
      <c r="B7" s="95" t="s">
        <v>1</v>
      </c>
      <c r="C7" s="98">
        <v>24481000</v>
      </c>
      <c r="D7" s="98">
        <v>24700000</v>
      </c>
      <c r="E7" s="98">
        <v>24914000</v>
      </c>
      <c r="F7" s="98">
        <v>25127000</v>
      </c>
      <c r="G7" s="98">
        <v>25336000</v>
      </c>
      <c r="H7" s="98">
        <v>25539000</v>
      </c>
      <c r="I7" s="99">
        <v>17471135</v>
      </c>
      <c r="J7" s="96">
        <v>16792000</v>
      </c>
      <c r="K7" s="96">
        <v>16101000</v>
      </c>
      <c r="L7" s="96">
        <v>15400000</v>
      </c>
      <c r="M7" s="96">
        <v>14691000</v>
      </c>
      <c r="N7" s="96">
        <v>13976000</v>
      </c>
      <c r="O7" s="96">
        <v>13237000</v>
      </c>
      <c r="P7" s="96">
        <v>12496000</v>
      </c>
      <c r="Q7" s="96">
        <v>11756000</v>
      </c>
      <c r="R7" s="96">
        <v>11020000</v>
      </c>
      <c r="S7" s="96">
        <v>10289000</v>
      </c>
      <c r="T7" s="100">
        <f>T5-T6</f>
        <v>9554000</v>
      </c>
      <c r="U7" s="100">
        <f>U5-U6</f>
        <v>8829000</v>
      </c>
      <c r="V7" s="87"/>
      <c r="W7" s="87"/>
      <c r="X7" s="87"/>
      <c r="Y7" s="87"/>
      <c r="Z7" s="87"/>
    </row>
    <row r="8" spans="1:26" ht="15.75" customHeight="1">
      <c r="A8" s="87"/>
      <c r="B8" s="101" t="s">
        <v>131</v>
      </c>
      <c r="C8" s="102">
        <f t="shared" ref="C8:U8" si="0">C6/C5</f>
        <v>0.25790414986813787</v>
      </c>
      <c r="D8" s="102">
        <f t="shared" si="0"/>
        <v>0.25747782955057869</v>
      </c>
      <c r="E8" s="102">
        <f t="shared" si="0"/>
        <v>0.25707469807663635</v>
      </c>
      <c r="F8" s="102">
        <f t="shared" si="0"/>
        <v>0.25664161883912195</v>
      </c>
      <c r="G8" s="102">
        <f t="shared" si="0"/>
        <v>0.25620174382761352</v>
      </c>
      <c r="H8" s="102">
        <f t="shared" si="0"/>
        <v>0.25579159017396624</v>
      </c>
      <c r="I8" s="102">
        <f t="shared" si="0"/>
        <v>0.47700703174792142</v>
      </c>
      <c r="J8" s="102">
        <f t="shared" si="0"/>
        <v>0.50084718052376564</v>
      </c>
      <c r="K8" s="102">
        <f t="shared" si="0"/>
        <v>0.52469372693726934</v>
      </c>
      <c r="L8" s="102">
        <f t="shared" si="0"/>
        <v>0.54850625934504094</v>
      </c>
      <c r="M8" s="102">
        <f t="shared" si="0"/>
        <v>0.57223969252271134</v>
      </c>
      <c r="N8" s="102">
        <f t="shared" si="0"/>
        <v>0.5958123662444329</v>
      </c>
      <c r="O8" s="102">
        <f t="shared" si="0"/>
        <v>0.61919967779983309</v>
      </c>
      <c r="P8" s="102">
        <f t="shared" si="0"/>
        <v>0.64238903356895516</v>
      </c>
      <c r="Q8" s="102">
        <f t="shared" si="0"/>
        <v>0.66530960854092525</v>
      </c>
      <c r="R8" s="102">
        <f t="shared" si="0"/>
        <v>0.68788059025122494</v>
      </c>
      <c r="S8" s="102">
        <f t="shared" si="0"/>
        <v>0.7100791794640593</v>
      </c>
      <c r="T8" s="102">
        <f t="shared" si="0"/>
        <v>0.73187775376757502</v>
      </c>
      <c r="U8" s="102">
        <f t="shared" si="0"/>
        <v>0.75321444543828264</v>
      </c>
      <c r="V8" s="87"/>
      <c r="W8" s="87"/>
      <c r="X8" s="87"/>
      <c r="Y8" s="87"/>
      <c r="Z8" s="87"/>
    </row>
    <row r="9" spans="1:26" ht="15.75" customHeight="1">
      <c r="A9" s="87"/>
      <c r="B9" s="103" t="s">
        <v>132</v>
      </c>
      <c r="C9" s="104">
        <f t="shared" ref="C9:U9" si="1">C7/C5</f>
        <v>0.74209585013186219</v>
      </c>
      <c r="D9" s="104">
        <f t="shared" si="1"/>
        <v>0.74252217044942126</v>
      </c>
      <c r="E9" s="104">
        <f t="shared" si="1"/>
        <v>0.7429253019233637</v>
      </c>
      <c r="F9" s="104">
        <f t="shared" si="1"/>
        <v>0.74335838116087805</v>
      </c>
      <c r="G9" s="104">
        <f t="shared" si="1"/>
        <v>0.74379825617238648</v>
      </c>
      <c r="H9" s="104">
        <f t="shared" si="1"/>
        <v>0.74420840982603376</v>
      </c>
      <c r="I9" s="104">
        <f t="shared" si="1"/>
        <v>0.52299296825207853</v>
      </c>
      <c r="J9" s="104">
        <f t="shared" si="1"/>
        <v>0.49915281947623436</v>
      </c>
      <c r="K9" s="104">
        <f t="shared" si="1"/>
        <v>0.4753062730627306</v>
      </c>
      <c r="L9" s="104">
        <f t="shared" si="1"/>
        <v>0.45149374065495912</v>
      </c>
      <c r="M9" s="104">
        <f t="shared" si="1"/>
        <v>0.4277603074772886</v>
      </c>
      <c r="N9" s="104">
        <f t="shared" si="1"/>
        <v>0.4041876337555671</v>
      </c>
      <c r="O9" s="104">
        <f t="shared" si="1"/>
        <v>0.38080032220016685</v>
      </c>
      <c r="P9" s="104">
        <f t="shared" si="1"/>
        <v>0.35761096643104484</v>
      </c>
      <c r="Q9" s="104">
        <f t="shared" si="1"/>
        <v>0.33469039145907475</v>
      </c>
      <c r="R9" s="104">
        <f t="shared" si="1"/>
        <v>0.31211940974877506</v>
      </c>
      <c r="S9" s="104">
        <f t="shared" si="1"/>
        <v>0.2899208205359407</v>
      </c>
      <c r="T9" s="104">
        <f t="shared" si="1"/>
        <v>0.26812224623242498</v>
      </c>
      <c r="U9" s="104">
        <f t="shared" si="1"/>
        <v>0.24678555456171736</v>
      </c>
      <c r="V9" s="87"/>
      <c r="W9" s="87"/>
      <c r="X9" s="87"/>
      <c r="Y9" s="87"/>
      <c r="Z9" s="87"/>
    </row>
    <row r="10" spans="1:26" ht="15.75" customHeight="1">
      <c r="B10" s="105" t="s">
        <v>133</v>
      </c>
      <c r="C10" s="106">
        <f t="shared" ref="C10:U10" si="2">C8+C9</f>
        <v>1</v>
      </c>
      <c r="D10" s="106">
        <f t="shared" si="2"/>
        <v>1</v>
      </c>
      <c r="E10" s="106">
        <f t="shared" si="2"/>
        <v>1</v>
      </c>
      <c r="F10" s="106">
        <f t="shared" si="2"/>
        <v>1</v>
      </c>
      <c r="G10" s="106">
        <f t="shared" si="2"/>
        <v>1</v>
      </c>
      <c r="H10" s="106">
        <f t="shared" si="2"/>
        <v>1</v>
      </c>
      <c r="I10" s="106">
        <f t="shared" si="2"/>
        <v>1</v>
      </c>
      <c r="J10" s="106">
        <f t="shared" si="2"/>
        <v>1</v>
      </c>
      <c r="K10" s="106">
        <f t="shared" si="2"/>
        <v>1</v>
      </c>
      <c r="L10" s="106">
        <f t="shared" si="2"/>
        <v>1</v>
      </c>
      <c r="M10" s="106">
        <f t="shared" si="2"/>
        <v>1</v>
      </c>
      <c r="N10" s="106">
        <f t="shared" si="2"/>
        <v>1</v>
      </c>
      <c r="O10" s="106">
        <f t="shared" si="2"/>
        <v>1</v>
      </c>
      <c r="P10" s="106">
        <f t="shared" si="2"/>
        <v>1</v>
      </c>
      <c r="Q10" s="106">
        <f t="shared" si="2"/>
        <v>1</v>
      </c>
      <c r="R10" s="106">
        <f t="shared" si="2"/>
        <v>1</v>
      </c>
      <c r="S10" s="106">
        <f t="shared" si="2"/>
        <v>1</v>
      </c>
      <c r="T10" s="106">
        <f t="shared" si="2"/>
        <v>1</v>
      </c>
      <c r="U10" s="106">
        <f t="shared" si="2"/>
        <v>1</v>
      </c>
      <c r="V10" s="87"/>
      <c r="W10" s="87"/>
      <c r="X10" s="87"/>
      <c r="Y10" s="87"/>
      <c r="Z10" s="87"/>
    </row>
    <row r="11" spans="1:26" ht="15.75" customHeight="1">
      <c r="B11" s="105" t="s">
        <v>134</v>
      </c>
      <c r="C11" s="87"/>
      <c r="D11" s="87"/>
      <c r="E11" s="87"/>
      <c r="F11" s="87"/>
      <c r="G11" s="87"/>
      <c r="H11" s="87"/>
      <c r="I11" s="87"/>
      <c r="J11" s="87"/>
      <c r="K11" s="87"/>
      <c r="L11" s="87"/>
      <c r="M11" s="87"/>
      <c r="N11" s="87"/>
      <c r="O11" s="87"/>
      <c r="P11" s="87"/>
      <c r="Q11" s="87"/>
      <c r="R11" s="87"/>
      <c r="S11" s="87"/>
      <c r="T11" s="87"/>
      <c r="U11" s="87"/>
      <c r="V11" s="87"/>
      <c r="W11" s="87"/>
      <c r="X11" s="87"/>
      <c r="Y11" s="87"/>
      <c r="Z11" s="87"/>
    </row>
    <row r="12" spans="1:26" ht="15.75" customHeight="1">
      <c r="A12" s="87"/>
      <c r="B12" s="88"/>
      <c r="C12" s="87"/>
      <c r="D12" s="87"/>
      <c r="E12" s="87"/>
      <c r="F12" s="87"/>
      <c r="G12" s="87"/>
      <c r="H12" s="87"/>
      <c r="I12" s="87"/>
      <c r="J12" s="87"/>
      <c r="K12" s="87"/>
      <c r="L12" s="87"/>
      <c r="M12" s="87"/>
      <c r="N12" s="87"/>
      <c r="O12" s="87"/>
      <c r="P12" s="87"/>
      <c r="Q12" s="87"/>
      <c r="R12" s="87"/>
      <c r="S12" s="87"/>
      <c r="T12" s="87"/>
      <c r="U12" s="87"/>
      <c r="V12" s="87"/>
      <c r="W12" s="87"/>
      <c r="X12" s="87"/>
      <c r="Y12" s="87"/>
      <c r="Z12" s="87"/>
    </row>
    <row r="13" spans="1:26" ht="15.75" customHeight="1">
      <c r="A13" s="87"/>
      <c r="B13" s="107"/>
      <c r="C13" s="87"/>
      <c r="D13" s="87"/>
      <c r="E13" s="87"/>
      <c r="F13" s="87"/>
      <c r="G13" s="87"/>
      <c r="H13" s="87"/>
      <c r="I13" s="87"/>
      <c r="J13" s="87"/>
      <c r="K13" s="87"/>
      <c r="L13" s="87"/>
      <c r="M13" s="87"/>
      <c r="N13" s="87"/>
      <c r="O13" s="87"/>
      <c r="P13" s="87"/>
      <c r="Q13" s="87"/>
      <c r="R13" s="87"/>
      <c r="S13" s="87"/>
      <c r="T13" s="87"/>
      <c r="U13" s="87"/>
      <c r="V13" s="87"/>
      <c r="W13" s="87"/>
      <c r="X13" s="87"/>
      <c r="Y13" s="87"/>
      <c r="Z13" s="87"/>
    </row>
    <row r="14" spans="1:26" ht="15.75" customHeight="1">
      <c r="A14" s="87"/>
      <c r="B14" s="107" t="s">
        <v>135</v>
      </c>
      <c r="C14" s="108" t="s">
        <v>136</v>
      </c>
      <c r="D14" s="87"/>
      <c r="E14" s="87"/>
      <c r="F14" s="87"/>
      <c r="G14" s="87"/>
      <c r="H14" s="109" t="s">
        <v>137</v>
      </c>
      <c r="K14" s="87"/>
      <c r="L14" s="87"/>
      <c r="M14" s="87"/>
      <c r="N14" s="87"/>
      <c r="O14" s="87"/>
      <c r="P14" s="87"/>
      <c r="Q14" s="87"/>
      <c r="R14" s="87"/>
      <c r="S14" s="87"/>
      <c r="T14" s="87"/>
      <c r="U14" s="87"/>
      <c r="V14" s="87"/>
      <c r="W14" s="87"/>
      <c r="X14" s="87"/>
      <c r="Y14" s="87"/>
      <c r="Z14" s="87"/>
    </row>
    <row r="15" spans="1:26" ht="15.75" customHeight="1">
      <c r="A15" s="87"/>
      <c r="B15" s="107" t="s">
        <v>138</v>
      </c>
      <c r="C15" s="687" t="s">
        <v>139</v>
      </c>
      <c r="D15" s="688"/>
      <c r="E15" s="688"/>
      <c r="F15" s="688"/>
      <c r="G15" s="688"/>
      <c r="H15" s="87"/>
      <c r="I15" s="87"/>
      <c r="J15" s="87"/>
      <c r="K15" s="87"/>
      <c r="L15" s="87"/>
      <c r="M15" s="87"/>
      <c r="N15" s="87"/>
      <c r="O15" s="87"/>
      <c r="P15" s="87"/>
      <c r="Q15" s="87"/>
      <c r="R15" s="87"/>
      <c r="S15" s="87"/>
      <c r="T15" s="87"/>
      <c r="U15" s="87"/>
      <c r="V15" s="87"/>
      <c r="W15" s="87"/>
      <c r="X15" s="87"/>
      <c r="Y15" s="87"/>
      <c r="Z15" s="87"/>
    </row>
    <row r="16" spans="1:26" ht="15.75" customHeight="1">
      <c r="A16" s="87"/>
      <c r="B16" s="107" t="s">
        <v>140</v>
      </c>
      <c r="C16" s="689" t="s">
        <v>141</v>
      </c>
      <c r="D16" s="688"/>
      <c r="E16" s="688"/>
      <c r="F16" s="688"/>
      <c r="G16" s="688"/>
      <c r="H16" s="109" t="s">
        <v>137</v>
      </c>
      <c r="I16" s="87"/>
      <c r="J16" s="87"/>
      <c r="K16" s="87"/>
      <c r="L16" s="87"/>
      <c r="M16" s="87"/>
      <c r="N16" s="87"/>
      <c r="O16" s="87"/>
      <c r="P16" s="87"/>
      <c r="Q16" s="87"/>
      <c r="R16" s="87"/>
      <c r="S16" s="87"/>
      <c r="T16" s="87"/>
      <c r="U16" s="87"/>
      <c r="V16" s="87"/>
      <c r="W16" s="87"/>
      <c r="X16" s="87"/>
      <c r="Y16" s="87"/>
      <c r="Z16" s="87"/>
    </row>
    <row r="17" spans="1:26" ht="15.75" customHeight="1">
      <c r="A17" s="690"/>
      <c r="B17" s="688"/>
      <c r="C17" s="87"/>
      <c r="D17" s="87"/>
      <c r="E17" s="87"/>
      <c r="F17" s="87"/>
      <c r="G17" s="87"/>
      <c r="H17" s="87"/>
      <c r="I17" s="87"/>
      <c r="J17" s="87"/>
      <c r="K17" s="87"/>
      <c r="L17" s="87"/>
      <c r="M17" s="87"/>
      <c r="N17" s="87"/>
      <c r="O17" s="87"/>
      <c r="P17" s="87"/>
      <c r="Q17" s="87"/>
      <c r="R17" s="87"/>
      <c r="S17" s="87"/>
      <c r="T17" s="87"/>
      <c r="U17" s="87"/>
      <c r="V17" s="87"/>
      <c r="W17" s="87"/>
      <c r="X17" s="87"/>
      <c r="Y17" s="87"/>
      <c r="Z17" s="87"/>
    </row>
    <row r="18" spans="1:26" ht="15.75" customHeight="1">
      <c r="A18" s="690"/>
      <c r="B18" s="688"/>
      <c r="C18" s="87"/>
      <c r="D18" s="87"/>
      <c r="E18" s="87"/>
      <c r="F18" s="87"/>
      <c r="G18" s="87"/>
      <c r="H18" s="87"/>
      <c r="I18" s="87"/>
      <c r="J18" s="87"/>
      <c r="K18" s="87"/>
      <c r="L18" s="87"/>
      <c r="M18" s="87"/>
      <c r="N18" s="87"/>
      <c r="O18" s="87"/>
      <c r="P18" s="87"/>
      <c r="Q18" s="87"/>
      <c r="R18" s="87"/>
      <c r="S18" s="87"/>
      <c r="T18" s="87"/>
      <c r="U18" s="87"/>
      <c r="V18" s="87"/>
      <c r="W18" s="87"/>
      <c r="X18" s="87"/>
      <c r="Y18" s="87"/>
      <c r="Z18" s="87"/>
    </row>
    <row r="19" spans="1:26" ht="15.75" customHeight="1">
      <c r="A19" s="87"/>
      <c r="B19" s="87"/>
      <c r="C19" s="87"/>
      <c r="D19" s="87"/>
      <c r="E19" s="87"/>
      <c r="F19" s="87"/>
      <c r="G19" s="87"/>
      <c r="H19" s="87"/>
      <c r="I19" s="87"/>
      <c r="J19" s="87"/>
      <c r="K19" s="87"/>
      <c r="L19" s="87"/>
      <c r="M19" s="87"/>
      <c r="N19" s="87"/>
      <c r="O19" s="87"/>
      <c r="P19" s="87"/>
      <c r="Q19" s="87"/>
      <c r="R19" s="87"/>
      <c r="S19" s="87"/>
      <c r="T19" s="87"/>
      <c r="U19" s="87"/>
      <c r="V19" s="87"/>
      <c r="W19" s="87"/>
      <c r="X19" s="87"/>
      <c r="Y19" s="87"/>
      <c r="Z19" s="87"/>
    </row>
    <row r="20" spans="1:26" ht="15.75" customHeight="1">
      <c r="A20" s="87"/>
      <c r="B20" s="87"/>
      <c r="C20" s="87"/>
      <c r="D20" s="87"/>
      <c r="E20" s="87"/>
      <c r="F20" s="87"/>
      <c r="G20" s="87"/>
      <c r="H20" s="87"/>
      <c r="I20" s="87"/>
      <c r="J20" s="87"/>
      <c r="K20" s="87"/>
      <c r="L20" s="87"/>
      <c r="M20" s="87"/>
      <c r="N20" s="87"/>
      <c r="O20" s="87"/>
      <c r="P20" s="87"/>
      <c r="Q20" s="87"/>
      <c r="R20" s="87"/>
      <c r="S20" s="87"/>
      <c r="T20" s="87"/>
      <c r="U20" s="87"/>
      <c r="V20" s="87"/>
      <c r="W20" s="87"/>
      <c r="X20" s="87"/>
      <c r="Y20" s="87"/>
      <c r="Z20" s="87"/>
    </row>
    <row r="21" spans="1:26" ht="15.75" customHeight="1">
      <c r="A21" s="87"/>
      <c r="B21" s="87"/>
      <c r="C21" s="87"/>
      <c r="D21" s="87"/>
      <c r="E21" s="87"/>
      <c r="F21" s="87"/>
      <c r="G21" s="87"/>
      <c r="H21" s="87"/>
      <c r="I21" s="87"/>
      <c r="J21" s="87"/>
      <c r="K21" s="87"/>
      <c r="L21" s="87"/>
      <c r="M21" s="87"/>
      <c r="N21" s="87"/>
      <c r="O21" s="87"/>
      <c r="P21" s="87"/>
      <c r="Q21" s="87"/>
      <c r="R21" s="87"/>
      <c r="S21" s="87"/>
      <c r="T21" s="87"/>
      <c r="U21" s="87"/>
      <c r="V21" s="87"/>
      <c r="W21" s="87"/>
      <c r="X21" s="87"/>
      <c r="Y21" s="87"/>
      <c r="Z21" s="87"/>
    </row>
    <row r="22" spans="1:26" ht="15.75" customHeight="1">
      <c r="A22" s="87"/>
      <c r="B22" s="87"/>
      <c r="C22" s="87"/>
      <c r="D22" s="87"/>
      <c r="E22" s="87"/>
      <c r="F22" s="87"/>
      <c r="G22" s="87"/>
      <c r="H22" s="87"/>
      <c r="I22" s="87"/>
      <c r="J22" s="87"/>
      <c r="K22" s="87"/>
      <c r="L22" s="87"/>
      <c r="M22" s="87"/>
      <c r="N22" s="87"/>
      <c r="O22" s="87"/>
      <c r="P22" s="87"/>
      <c r="Q22" s="87"/>
      <c r="R22" s="87"/>
      <c r="S22" s="87"/>
      <c r="T22" s="87"/>
      <c r="U22" s="87"/>
      <c r="V22" s="87"/>
      <c r="W22" s="87"/>
      <c r="X22" s="87"/>
      <c r="Y22" s="87"/>
      <c r="Z22" s="87"/>
    </row>
    <row r="23" spans="1:26" ht="15.75" customHeight="1">
      <c r="A23" s="87"/>
      <c r="B23" s="87"/>
      <c r="C23" s="87"/>
      <c r="D23" s="87"/>
      <c r="E23" s="87"/>
      <c r="F23" s="87"/>
      <c r="G23" s="87"/>
      <c r="H23" s="87"/>
      <c r="I23" s="87"/>
      <c r="J23" s="87"/>
      <c r="K23" s="87"/>
      <c r="L23" s="87"/>
      <c r="M23" s="87"/>
      <c r="N23" s="87"/>
      <c r="O23" s="87"/>
      <c r="P23" s="87"/>
      <c r="Q23" s="87"/>
      <c r="R23" s="87"/>
      <c r="S23" s="87"/>
      <c r="T23" s="87"/>
      <c r="U23" s="87"/>
      <c r="V23" s="87"/>
      <c r="W23" s="87"/>
      <c r="X23" s="87"/>
      <c r="Y23" s="87"/>
      <c r="Z23" s="87"/>
    </row>
    <row r="24" spans="1:26" ht="15.75" customHeight="1">
      <c r="A24" s="87"/>
      <c r="B24" s="87"/>
      <c r="C24" s="87"/>
      <c r="D24" s="87"/>
      <c r="E24" s="87"/>
      <c r="F24" s="87"/>
      <c r="G24" s="87"/>
      <c r="H24" s="87"/>
      <c r="I24" s="87"/>
      <c r="J24" s="87"/>
      <c r="K24" s="87"/>
      <c r="L24" s="87"/>
      <c r="M24" s="87"/>
      <c r="N24" s="87"/>
      <c r="O24" s="87"/>
      <c r="P24" s="87"/>
      <c r="Q24" s="87"/>
      <c r="R24" s="87"/>
      <c r="S24" s="87"/>
      <c r="T24" s="87"/>
      <c r="U24" s="87"/>
      <c r="V24" s="87"/>
      <c r="W24" s="87"/>
      <c r="X24" s="87"/>
      <c r="Y24" s="87"/>
      <c r="Z24" s="87"/>
    </row>
    <row r="25" spans="1:26" ht="15.7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row>
    <row r="26" spans="1:26" ht="15.7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row>
    <row r="27" spans="1:26" ht="15.7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row>
    <row r="28" spans="1:26" ht="15.7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row>
    <row r="29" spans="1:26" ht="15.7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row>
    <row r="30" spans="1:26" ht="15.7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row>
    <row r="31" spans="1:26" ht="15.7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row>
    <row r="32" spans="1:26" ht="15.7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row>
    <row r="33" spans="1:26" ht="15.75" customHeight="1">
      <c r="A33" s="87"/>
      <c r="B33" s="87"/>
      <c r="C33" s="87"/>
      <c r="D33" s="87"/>
      <c r="E33" s="87"/>
      <c r="F33" s="87"/>
      <c r="G33" s="87"/>
      <c r="H33" s="87"/>
      <c r="I33" s="87"/>
      <c r="J33" s="87"/>
      <c r="K33" s="87"/>
      <c r="L33" s="87"/>
      <c r="M33" s="87"/>
      <c r="N33" s="87"/>
      <c r="O33" s="87"/>
      <c r="P33" s="87"/>
      <c r="Q33" s="87"/>
      <c r="R33" s="87"/>
      <c r="S33" s="87"/>
      <c r="T33" s="87"/>
      <c r="U33" s="87"/>
      <c r="V33" s="87"/>
      <c r="W33" s="87"/>
      <c r="X33" s="87"/>
      <c r="Y33" s="87"/>
      <c r="Z33" s="87"/>
    </row>
    <row r="34" spans="1:26" ht="15.75" customHeight="1">
      <c r="A34" s="87"/>
      <c r="B34" s="87"/>
      <c r="C34" s="87"/>
      <c r="D34" s="87"/>
      <c r="E34" s="87"/>
      <c r="F34" s="87"/>
      <c r="G34" s="87"/>
      <c r="H34" s="87"/>
      <c r="I34" s="87"/>
      <c r="J34" s="87"/>
      <c r="K34" s="87"/>
      <c r="L34" s="87"/>
      <c r="M34" s="87"/>
      <c r="N34" s="87"/>
      <c r="O34" s="87"/>
      <c r="P34" s="87"/>
      <c r="Q34" s="87"/>
      <c r="R34" s="87"/>
      <c r="S34" s="87"/>
      <c r="T34" s="87"/>
      <c r="U34" s="87"/>
      <c r="V34" s="87"/>
      <c r="W34" s="87"/>
      <c r="X34" s="87"/>
      <c r="Y34" s="87"/>
      <c r="Z34" s="87"/>
    </row>
    <row r="35" spans="1:26" ht="15.75" customHeight="1">
      <c r="A35" s="87"/>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15.75" customHeight="1">
      <c r="A36" s="87"/>
      <c r="B36" s="87"/>
      <c r="C36" s="87"/>
      <c r="D36" s="87"/>
      <c r="E36" s="87"/>
      <c r="F36" s="87"/>
      <c r="G36" s="87"/>
      <c r="H36" s="87"/>
      <c r="I36" s="87"/>
      <c r="J36" s="87"/>
      <c r="K36" s="87"/>
      <c r="L36" s="87"/>
      <c r="M36" s="87"/>
      <c r="N36" s="87"/>
      <c r="O36" s="87"/>
      <c r="P36" s="87"/>
      <c r="Q36" s="87"/>
      <c r="R36" s="87"/>
      <c r="S36" s="87"/>
      <c r="T36" s="87"/>
      <c r="U36" s="87"/>
      <c r="V36" s="87"/>
      <c r="W36" s="87"/>
      <c r="X36" s="87"/>
      <c r="Y36" s="87"/>
      <c r="Z36" s="87"/>
    </row>
    <row r="37" spans="1:26" ht="15.75" customHeight="1">
      <c r="A37" s="87"/>
      <c r="B37" s="87"/>
      <c r="C37" s="87"/>
      <c r="D37" s="87"/>
      <c r="E37" s="87"/>
      <c r="F37" s="87"/>
      <c r="G37" s="87"/>
      <c r="H37" s="87"/>
      <c r="I37" s="87"/>
      <c r="J37" s="87"/>
      <c r="K37" s="87"/>
      <c r="L37" s="87"/>
      <c r="M37" s="87"/>
      <c r="N37" s="87"/>
      <c r="O37" s="87"/>
      <c r="P37" s="87"/>
      <c r="Q37" s="87"/>
      <c r="R37" s="87"/>
      <c r="S37" s="87"/>
      <c r="T37" s="87"/>
      <c r="U37" s="87"/>
      <c r="V37" s="87"/>
      <c r="W37" s="87"/>
      <c r="X37" s="87"/>
      <c r="Y37" s="87"/>
      <c r="Z37" s="87"/>
    </row>
    <row r="38" spans="1:26" ht="15.75" customHeight="1">
      <c r="A38" s="87"/>
      <c r="B38" s="87"/>
      <c r="C38" s="87"/>
      <c r="D38" s="87"/>
      <c r="E38" s="87"/>
      <c r="F38" s="87"/>
      <c r="G38" s="87"/>
      <c r="H38" s="87"/>
      <c r="I38" s="87"/>
      <c r="J38" s="87"/>
      <c r="K38" s="87"/>
      <c r="L38" s="87"/>
      <c r="M38" s="87"/>
      <c r="N38" s="87"/>
      <c r="O38" s="87"/>
      <c r="P38" s="87"/>
      <c r="Q38" s="87"/>
      <c r="R38" s="87"/>
      <c r="S38" s="87"/>
      <c r="T38" s="87"/>
      <c r="U38" s="87"/>
      <c r="V38" s="87"/>
      <c r="W38" s="87"/>
      <c r="X38" s="87"/>
      <c r="Y38" s="87"/>
      <c r="Z38" s="87"/>
    </row>
    <row r="39" spans="1:26" ht="15.75" customHeight="1">
      <c r="A39" s="87"/>
      <c r="B39" s="87"/>
      <c r="C39" s="87"/>
      <c r="D39" s="87"/>
      <c r="E39" s="87"/>
      <c r="F39" s="87"/>
      <c r="G39" s="87"/>
      <c r="H39" s="87"/>
      <c r="I39" s="87"/>
      <c r="J39" s="87"/>
      <c r="K39" s="87"/>
      <c r="L39" s="87"/>
      <c r="M39" s="87"/>
      <c r="N39" s="87"/>
      <c r="O39" s="87"/>
      <c r="P39" s="87"/>
      <c r="Q39" s="87"/>
      <c r="R39" s="87"/>
      <c r="S39" s="87"/>
      <c r="T39" s="87"/>
      <c r="U39" s="87"/>
      <c r="V39" s="87"/>
      <c r="W39" s="87"/>
      <c r="X39" s="87"/>
      <c r="Y39" s="87"/>
      <c r="Z39" s="87"/>
    </row>
    <row r="40" spans="1:26" ht="15.75" customHeight="1">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row>
    <row r="41" spans="1:26" ht="15.75" customHeight="1">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row>
    <row r="42" spans="1:26" ht="15.75" customHeight="1">
      <c r="A42" s="87"/>
      <c r="B42" s="87"/>
      <c r="C42" s="87"/>
      <c r="D42" s="87"/>
      <c r="E42" s="87"/>
      <c r="F42" s="87"/>
      <c r="G42" s="87"/>
      <c r="H42" s="87"/>
      <c r="I42" s="87"/>
      <c r="J42" s="87"/>
      <c r="K42" s="87"/>
      <c r="L42" s="87"/>
      <c r="M42" s="87"/>
      <c r="N42" s="87"/>
      <c r="O42" s="87"/>
      <c r="P42" s="87"/>
      <c r="Q42" s="87"/>
      <c r="R42" s="87"/>
      <c r="S42" s="87"/>
      <c r="T42" s="87"/>
      <c r="U42" s="87"/>
      <c r="V42" s="87"/>
      <c r="W42" s="87"/>
      <c r="X42" s="87"/>
      <c r="Y42" s="87"/>
      <c r="Z42" s="87"/>
    </row>
    <row r="43" spans="1:26" ht="15.75" customHeight="1">
      <c r="A43" s="87"/>
      <c r="B43" s="87"/>
      <c r="C43" s="87"/>
      <c r="D43" s="87"/>
      <c r="E43" s="87"/>
      <c r="F43" s="87"/>
      <c r="G43" s="87"/>
      <c r="H43" s="87"/>
      <c r="I43" s="87"/>
      <c r="J43" s="87"/>
      <c r="K43" s="87"/>
      <c r="L43" s="87"/>
      <c r="M43" s="87"/>
      <c r="N43" s="87"/>
      <c r="O43" s="87"/>
      <c r="P43" s="87"/>
      <c r="Q43" s="87"/>
      <c r="R43" s="87"/>
      <c r="S43" s="87"/>
      <c r="T43" s="87"/>
      <c r="U43" s="87"/>
      <c r="V43" s="87"/>
      <c r="W43" s="87"/>
      <c r="X43" s="87"/>
      <c r="Y43" s="87"/>
      <c r="Z43" s="87"/>
    </row>
    <row r="44" spans="1:26" ht="15.75" customHeight="1">
      <c r="A44" s="87"/>
      <c r="B44" s="87"/>
      <c r="C44" s="87"/>
      <c r="D44" s="87"/>
      <c r="E44" s="87"/>
      <c r="F44" s="87"/>
      <c r="G44" s="87"/>
      <c r="H44" s="87"/>
      <c r="I44" s="87"/>
      <c r="J44" s="87"/>
      <c r="K44" s="87"/>
      <c r="L44" s="87"/>
      <c r="M44" s="87"/>
      <c r="N44" s="87"/>
      <c r="O44" s="87"/>
      <c r="P44" s="87"/>
      <c r="Q44" s="87"/>
      <c r="R44" s="87"/>
      <c r="S44" s="87"/>
      <c r="T44" s="87"/>
      <c r="U44" s="87"/>
      <c r="V44" s="87"/>
      <c r="W44" s="87"/>
      <c r="X44" s="87"/>
      <c r="Y44" s="87"/>
      <c r="Z44" s="87"/>
    </row>
    <row r="45" spans="1:26" ht="15.75" customHeight="1">
      <c r="A45" s="87"/>
      <c r="B45" s="87"/>
      <c r="C45" s="87"/>
      <c r="D45" s="87"/>
      <c r="E45" s="87"/>
      <c r="F45" s="87"/>
      <c r="G45" s="87"/>
      <c r="H45" s="87"/>
      <c r="I45" s="87"/>
      <c r="J45" s="87"/>
      <c r="K45" s="87"/>
      <c r="L45" s="87"/>
      <c r="M45" s="87"/>
      <c r="N45" s="87"/>
      <c r="O45" s="87"/>
      <c r="P45" s="87"/>
      <c r="Q45" s="87"/>
      <c r="R45" s="87"/>
      <c r="S45" s="87"/>
      <c r="T45" s="87"/>
      <c r="U45" s="87"/>
      <c r="V45" s="87"/>
      <c r="W45" s="87"/>
      <c r="X45" s="87"/>
      <c r="Y45" s="87"/>
      <c r="Z45" s="87"/>
    </row>
    <row r="46" spans="1:26" ht="15.75" customHeight="1">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row>
    <row r="47" spans="1:26" ht="15.75" customHeight="1">
      <c r="A47" s="87"/>
      <c r="B47" s="87"/>
      <c r="C47" s="87"/>
      <c r="D47" s="87"/>
      <c r="E47" s="87"/>
      <c r="F47" s="87"/>
      <c r="G47" s="87"/>
      <c r="H47" s="87"/>
      <c r="I47" s="87"/>
      <c r="J47" s="87"/>
      <c r="K47" s="87"/>
      <c r="L47" s="87"/>
      <c r="M47" s="87"/>
      <c r="N47" s="87"/>
      <c r="O47" s="87"/>
      <c r="P47" s="87"/>
      <c r="Q47" s="87"/>
      <c r="R47" s="87"/>
      <c r="S47" s="87"/>
      <c r="T47" s="87"/>
      <c r="U47" s="87"/>
      <c r="V47" s="87"/>
      <c r="W47" s="87"/>
      <c r="X47" s="87"/>
      <c r="Y47" s="87"/>
      <c r="Z47" s="87"/>
    </row>
    <row r="48" spans="1:26" ht="15.75" customHeight="1">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row>
    <row r="49" spans="1:26" ht="15.75" customHeight="1">
      <c r="A49" s="87"/>
      <c r="B49" s="87"/>
      <c r="C49" s="87"/>
      <c r="D49" s="87"/>
      <c r="E49" s="87"/>
      <c r="F49" s="87"/>
      <c r="G49" s="87"/>
      <c r="H49" s="87"/>
      <c r="I49" s="87"/>
      <c r="J49" s="87"/>
      <c r="K49" s="87"/>
      <c r="L49" s="87"/>
      <c r="M49" s="87"/>
      <c r="N49" s="87"/>
      <c r="O49" s="87"/>
      <c r="P49" s="87"/>
      <c r="Q49" s="87"/>
      <c r="R49" s="87"/>
      <c r="S49" s="87"/>
      <c r="T49" s="87"/>
      <c r="U49" s="87"/>
      <c r="V49" s="87"/>
      <c r="W49" s="87"/>
      <c r="X49" s="87"/>
      <c r="Y49" s="87"/>
      <c r="Z49" s="87"/>
    </row>
    <row r="50" spans="1:26" ht="15.75" customHeight="1">
      <c r="A50" s="87"/>
      <c r="B50" s="87"/>
      <c r="C50" s="87"/>
      <c r="D50" s="87"/>
      <c r="E50" s="87"/>
      <c r="F50" s="87"/>
      <c r="G50" s="87"/>
      <c r="H50" s="87"/>
      <c r="I50" s="87"/>
      <c r="J50" s="87"/>
      <c r="K50" s="87"/>
      <c r="L50" s="87"/>
      <c r="M50" s="87"/>
      <c r="N50" s="87"/>
      <c r="O50" s="87"/>
      <c r="P50" s="87"/>
      <c r="Q50" s="87"/>
      <c r="R50" s="87"/>
      <c r="S50" s="87"/>
      <c r="T50" s="87"/>
      <c r="U50" s="87"/>
      <c r="V50" s="87"/>
      <c r="W50" s="87"/>
      <c r="X50" s="87"/>
      <c r="Y50" s="87"/>
      <c r="Z50" s="87"/>
    </row>
    <row r="51" spans="1:26" ht="15.75" customHeight="1">
      <c r="A51" s="87"/>
      <c r="B51" s="87"/>
      <c r="C51" s="87"/>
      <c r="D51" s="87"/>
      <c r="E51" s="87"/>
      <c r="F51" s="87"/>
      <c r="G51" s="87"/>
      <c r="H51" s="87"/>
      <c r="I51" s="87"/>
      <c r="J51" s="87"/>
      <c r="K51" s="87"/>
      <c r="L51" s="87"/>
      <c r="M51" s="87"/>
      <c r="N51" s="87"/>
      <c r="O51" s="87"/>
      <c r="P51" s="87"/>
      <c r="Q51" s="87"/>
      <c r="R51" s="87"/>
      <c r="S51" s="87"/>
      <c r="T51" s="87"/>
      <c r="U51" s="87"/>
      <c r="V51" s="87"/>
      <c r="W51" s="87"/>
      <c r="X51" s="87"/>
      <c r="Y51" s="87"/>
      <c r="Z51" s="87"/>
    </row>
    <row r="52" spans="1:26" ht="15.75" customHeight="1">
      <c r="A52" s="87"/>
      <c r="B52" s="87"/>
      <c r="C52" s="87"/>
      <c r="D52" s="87"/>
      <c r="E52" s="87"/>
      <c r="F52" s="87"/>
      <c r="G52" s="87"/>
      <c r="H52" s="87"/>
      <c r="I52" s="87"/>
      <c r="J52" s="87"/>
      <c r="K52" s="87"/>
      <c r="L52" s="87"/>
      <c r="M52" s="87"/>
      <c r="N52" s="87"/>
      <c r="O52" s="87"/>
      <c r="P52" s="87"/>
      <c r="Q52" s="87"/>
      <c r="R52" s="87"/>
      <c r="S52" s="87"/>
      <c r="T52" s="87"/>
      <c r="U52" s="87"/>
      <c r="V52" s="87"/>
      <c r="W52" s="87"/>
      <c r="X52" s="87"/>
      <c r="Y52" s="87"/>
      <c r="Z52" s="87"/>
    </row>
    <row r="53" spans="1:26" ht="15.75" customHeight="1">
      <c r="A53" s="87"/>
      <c r="B53" s="87"/>
      <c r="C53" s="87"/>
      <c r="D53" s="87"/>
      <c r="E53" s="87"/>
      <c r="F53" s="87"/>
      <c r="G53" s="87"/>
      <c r="H53" s="87"/>
      <c r="I53" s="87"/>
      <c r="J53" s="87"/>
      <c r="K53" s="87"/>
      <c r="L53" s="87"/>
      <c r="M53" s="87"/>
      <c r="N53" s="87"/>
      <c r="O53" s="87"/>
      <c r="P53" s="87"/>
      <c r="Q53" s="87"/>
      <c r="R53" s="87"/>
      <c r="S53" s="87"/>
      <c r="T53" s="87"/>
      <c r="U53" s="87"/>
      <c r="V53" s="87"/>
      <c r="W53" s="87"/>
      <c r="X53" s="87"/>
      <c r="Y53" s="87"/>
      <c r="Z53" s="87"/>
    </row>
    <row r="54" spans="1:26" ht="15.75" customHeight="1">
      <c r="A54" s="87"/>
      <c r="B54" s="87"/>
      <c r="C54" s="87"/>
      <c r="D54" s="87"/>
      <c r="E54" s="87"/>
      <c r="F54" s="87"/>
      <c r="G54" s="87"/>
      <c r="H54" s="87"/>
      <c r="I54" s="87"/>
      <c r="J54" s="87"/>
      <c r="K54" s="87"/>
      <c r="L54" s="87"/>
      <c r="M54" s="87"/>
      <c r="N54" s="87"/>
      <c r="O54" s="87"/>
      <c r="P54" s="87"/>
      <c r="Q54" s="87"/>
      <c r="R54" s="87"/>
      <c r="S54" s="87"/>
      <c r="T54" s="87"/>
      <c r="U54" s="87"/>
      <c r="V54" s="87"/>
      <c r="W54" s="87"/>
      <c r="X54" s="87"/>
      <c r="Y54" s="87"/>
      <c r="Z54" s="87"/>
    </row>
    <row r="55" spans="1:26" ht="15.75" customHeight="1">
      <c r="A55" s="87"/>
      <c r="B55" s="87"/>
      <c r="C55" s="87"/>
      <c r="D55" s="87"/>
      <c r="E55" s="87"/>
      <c r="F55" s="87"/>
      <c r="G55" s="87"/>
      <c r="H55" s="87"/>
      <c r="I55" s="87"/>
      <c r="J55" s="87"/>
      <c r="K55" s="87"/>
      <c r="L55" s="87"/>
      <c r="M55" s="87"/>
      <c r="N55" s="87"/>
      <c r="O55" s="87"/>
      <c r="P55" s="87"/>
      <c r="Q55" s="87"/>
      <c r="R55" s="87"/>
      <c r="S55" s="87"/>
      <c r="T55" s="87"/>
      <c r="U55" s="87"/>
      <c r="V55" s="87"/>
      <c r="W55" s="87"/>
      <c r="X55" s="87"/>
      <c r="Y55" s="87"/>
      <c r="Z55" s="87"/>
    </row>
    <row r="56" spans="1:26" ht="15.75" customHeight="1">
      <c r="A56" s="87"/>
      <c r="B56" s="87"/>
      <c r="C56" s="87"/>
      <c r="D56" s="87"/>
      <c r="E56" s="87"/>
      <c r="F56" s="87"/>
      <c r="G56" s="87"/>
      <c r="H56" s="87"/>
      <c r="I56" s="87"/>
      <c r="J56" s="87"/>
      <c r="K56" s="87"/>
      <c r="L56" s="87"/>
      <c r="M56" s="87"/>
      <c r="N56" s="87"/>
      <c r="O56" s="87"/>
      <c r="P56" s="87"/>
      <c r="Q56" s="87"/>
      <c r="R56" s="87"/>
      <c r="S56" s="87"/>
      <c r="T56" s="87"/>
      <c r="U56" s="87"/>
      <c r="V56" s="87"/>
      <c r="W56" s="87"/>
      <c r="X56" s="87"/>
      <c r="Y56" s="87"/>
      <c r="Z56" s="87"/>
    </row>
    <row r="57" spans="1:26" ht="15.75" customHeight="1">
      <c r="A57" s="87"/>
      <c r="B57" s="87"/>
      <c r="C57" s="87"/>
      <c r="D57" s="87"/>
      <c r="E57" s="87"/>
      <c r="F57" s="87"/>
      <c r="G57" s="87"/>
      <c r="H57" s="87"/>
      <c r="I57" s="87"/>
      <c r="J57" s="87"/>
      <c r="K57" s="87"/>
      <c r="L57" s="87"/>
      <c r="M57" s="87"/>
      <c r="N57" s="87"/>
      <c r="O57" s="87"/>
      <c r="P57" s="87"/>
      <c r="Q57" s="87"/>
      <c r="R57" s="87"/>
      <c r="S57" s="87"/>
      <c r="T57" s="87"/>
      <c r="U57" s="87"/>
      <c r="V57" s="87"/>
      <c r="W57" s="87"/>
      <c r="X57" s="87"/>
      <c r="Y57" s="87"/>
      <c r="Z57" s="87"/>
    </row>
    <row r="58" spans="1:26" ht="15.75" customHeight="1">
      <c r="A58" s="87"/>
      <c r="B58" s="87"/>
      <c r="C58" s="87"/>
      <c r="D58" s="87"/>
      <c r="E58" s="87"/>
      <c r="F58" s="87"/>
      <c r="G58" s="87"/>
      <c r="H58" s="87"/>
      <c r="I58" s="87"/>
      <c r="J58" s="87"/>
      <c r="K58" s="87"/>
      <c r="L58" s="87"/>
      <c r="M58" s="87"/>
      <c r="N58" s="87"/>
      <c r="O58" s="87"/>
      <c r="P58" s="87"/>
      <c r="Q58" s="87"/>
      <c r="R58" s="87"/>
      <c r="S58" s="87"/>
      <c r="T58" s="87"/>
      <c r="U58" s="87"/>
      <c r="V58" s="87"/>
      <c r="W58" s="87"/>
      <c r="X58" s="87"/>
      <c r="Y58" s="87"/>
      <c r="Z58" s="87"/>
    </row>
    <row r="59" spans="1:26" ht="15.75" customHeight="1">
      <c r="A59" s="87"/>
      <c r="B59" s="87"/>
      <c r="C59" s="87"/>
      <c r="D59" s="87"/>
      <c r="E59" s="87"/>
      <c r="F59" s="87"/>
      <c r="G59" s="87"/>
      <c r="H59" s="87"/>
      <c r="I59" s="87"/>
      <c r="J59" s="87"/>
      <c r="K59" s="87"/>
      <c r="L59" s="87"/>
      <c r="M59" s="87"/>
      <c r="N59" s="87"/>
      <c r="O59" s="87"/>
      <c r="P59" s="87"/>
      <c r="Q59" s="87"/>
      <c r="R59" s="87"/>
      <c r="S59" s="87"/>
      <c r="T59" s="87"/>
      <c r="U59" s="87"/>
      <c r="V59" s="87"/>
      <c r="W59" s="87"/>
      <c r="X59" s="87"/>
      <c r="Y59" s="87"/>
      <c r="Z59" s="87"/>
    </row>
    <row r="60" spans="1:26" ht="15.75" customHeight="1">
      <c r="A60" s="87"/>
      <c r="B60" s="87"/>
      <c r="C60" s="87"/>
      <c r="D60" s="87"/>
      <c r="E60" s="87"/>
      <c r="F60" s="87"/>
      <c r="G60" s="87"/>
      <c r="H60" s="87"/>
      <c r="I60" s="87"/>
      <c r="J60" s="87"/>
      <c r="K60" s="87"/>
      <c r="L60" s="87"/>
      <c r="M60" s="87"/>
      <c r="N60" s="87"/>
      <c r="O60" s="87"/>
      <c r="P60" s="87"/>
      <c r="Q60" s="87"/>
      <c r="R60" s="87"/>
      <c r="S60" s="87"/>
      <c r="T60" s="87"/>
      <c r="U60" s="87"/>
      <c r="V60" s="87"/>
      <c r="W60" s="87"/>
      <c r="X60" s="87"/>
      <c r="Y60" s="87"/>
      <c r="Z60" s="87"/>
    </row>
    <row r="61" spans="1:26" ht="15.75" customHeight="1">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row>
    <row r="62" spans="1:26" ht="15.75" customHeight="1">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row>
    <row r="63" spans="1:26" ht="15.75" customHeight="1">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row>
    <row r="64" spans="1:26" ht="15.75" customHeight="1">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row>
    <row r="65" spans="1:26" ht="15.75" customHeight="1">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row>
    <row r="66" spans="1:26" ht="15.75" customHeight="1">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row>
    <row r="67" spans="1:26" ht="15.75" customHeight="1">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row>
    <row r="68" spans="1:26" ht="15.75" customHeight="1">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row>
    <row r="69" spans="1:26" ht="15.75" customHeight="1">
      <c r="A69" s="87"/>
      <c r="B69" s="87"/>
      <c r="C69" s="87"/>
      <c r="D69" s="87"/>
      <c r="E69" s="87"/>
      <c r="F69" s="87"/>
      <c r="G69" s="87"/>
      <c r="H69" s="87"/>
      <c r="I69" s="87"/>
      <c r="J69" s="87"/>
      <c r="K69" s="87"/>
      <c r="L69" s="87"/>
      <c r="M69" s="87"/>
      <c r="N69" s="87"/>
      <c r="O69" s="87"/>
      <c r="P69" s="87"/>
      <c r="Q69" s="87"/>
      <c r="R69" s="87"/>
      <c r="S69" s="87"/>
      <c r="T69" s="87"/>
      <c r="U69" s="87"/>
      <c r="V69" s="87"/>
      <c r="W69" s="87"/>
      <c r="X69" s="87"/>
      <c r="Y69" s="87"/>
      <c r="Z69" s="87"/>
    </row>
    <row r="70" spans="1:26" ht="15.75" customHeight="1">
      <c r="A70" s="87"/>
      <c r="B70" s="87"/>
      <c r="C70" s="87"/>
      <c r="D70" s="87"/>
      <c r="E70" s="87"/>
      <c r="F70" s="87"/>
      <c r="G70" s="87"/>
      <c r="H70" s="87"/>
      <c r="I70" s="87"/>
      <c r="J70" s="87"/>
      <c r="K70" s="87"/>
      <c r="L70" s="87"/>
      <c r="M70" s="87"/>
      <c r="N70" s="87"/>
      <c r="O70" s="87"/>
      <c r="P70" s="87"/>
      <c r="Q70" s="87"/>
      <c r="R70" s="87"/>
      <c r="S70" s="87"/>
      <c r="T70" s="87"/>
      <c r="U70" s="87"/>
      <c r="V70" s="87"/>
      <c r="W70" s="87"/>
      <c r="X70" s="87"/>
      <c r="Y70" s="87"/>
      <c r="Z70" s="87"/>
    </row>
    <row r="71" spans="1:26" ht="15.75" customHeight="1">
      <c r="A71" s="87"/>
      <c r="B71" s="87"/>
      <c r="C71" s="87"/>
      <c r="D71" s="87"/>
      <c r="E71" s="87"/>
      <c r="F71" s="87"/>
      <c r="G71" s="87"/>
      <c r="H71" s="87"/>
      <c r="I71" s="87"/>
      <c r="J71" s="87"/>
      <c r="K71" s="87"/>
      <c r="L71" s="87"/>
      <c r="M71" s="87"/>
      <c r="N71" s="87"/>
      <c r="O71" s="87"/>
      <c r="P71" s="87"/>
      <c r="Q71" s="87"/>
      <c r="R71" s="87"/>
      <c r="S71" s="87"/>
      <c r="T71" s="87"/>
      <c r="U71" s="87"/>
      <c r="V71" s="87"/>
      <c r="W71" s="87"/>
      <c r="X71" s="87"/>
      <c r="Y71" s="87"/>
      <c r="Z71" s="87"/>
    </row>
    <row r="72" spans="1:26" ht="15.75" customHeight="1">
      <c r="A72" s="87"/>
      <c r="B72" s="87"/>
      <c r="C72" s="87"/>
      <c r="D72" s="87"/>
      <c r="E72" s="87"/>
      <c r="F72" s="87"/>
      <c r="G72" s="87"/>
      <c r="H72" s="87"/>
      <c r="I72" s="87"/>
      <c r="J72" s="87"/>
      <c r="K72" s="87"/>
      <c r="L72" s="87"/>
      <c r="M72" s="87"/>
      <c r="N72" s="87"/>
      <c r="O72" s="87"/>
      <c r="P72" s="87"/>
      <c r="Q72" s="87"/>
      <c r="R72" s="87"/>
      <c r="S72" s="87"/>
      <c r="T72" s="87"/>
      <c r="U72" s="87"/>
      <c r="V72" s="87"/>
      <c r="W72" s="87"/>
      <c r="X72" s="87"/>
      <c r="Y72" s="87"/>
      <c r="Z72" s="87"/>
    </row>
    <row r="73" spans="1:26" ht="15.75" customHeight="1">
      <c r="A73" s="87"/>
      <c r="B73" s="87"/>
      <c r="C73" s="87"/>
      <c r="D73" s="87"/>
      <c r="E73" s="87"/>
      <c r="F73" s="87"/>
      <c r="G73" s="87"/>
      <c r="H73" s="87"/>
      <c r="I73" s="87"/>
      <c r="J73" s="87"/>
      <c r="K73" s="87"/>
      <c r="L73" s="87"/>
      <c r="M73" s="87"/>
      <c r="N73" s="87"/>
      <c r="O73" s="87"/>
      <c r="P73" s="87"/>
      <c r="Q73" s="87"/>
      <c r="R73" s="87"/>
      <c r="S73" s="87"/>
      <c r="T73" s="87"/>
      <c r="U73" s="87"/>
      <c r="V73" s="87"/>
      <c r="W73" s="87"/>
      <c r="X73" s="87"/>
      <c r="Y73" s="87"/>
      <c r="Z73" s="87"/>
    </row>
    <row r="74" spans="1:26" ht="15.75" customHeight="1">
      <c r="A74" s="87"/>
      <c r="B74" s="87"/>
      <c r="C74" s="87"/>
      <c r="D74" s="87"/>
      <c r="E74" s="87"/>
      <c r="F74" s="87"/>
      <c r="G74" s="87"/>
      <c r="H74" s="87"/>
      <c r="I74" s="87"/>
      <c r="J74" s="87"/>
      <c r="K74" s="87"/>
      <c r="L74" s="87"/>
      <c r="M74" s="87"/>
      <c r="N74" s="87"/>
      <c r="O74" s="87"/>
      <c r="P74" s="87"/>
      <c r="Q74" s="87"/>
      <c r="R74" s="87"/>
      <c r="S74" s="87"/>
      <c r="T74" s="87"/>
      <c r="U74" s="87"/>
      <c r="V74" s="87"/>
      <c r="W74" s="87"/>
      <c r="X74" s="87"/>
      <c r="Y74" s="87"/>
      <c r="Z74" s="87"/>
    </row>
    <row r="75" spans="1:26" ht="15.75" customHeight="1">
      <c r="A75" s="87"/>
      <c r="B75" s="87"/>
      <c r="C75" s="87"/>
      <c r="D75" s="87"/>
      <c r="E75" s="87"/>
      <c r="F75" s="87"/>
      <c r="G75" s="87"/>
      <c r="H75" s="87"/>
      <c r="I75" s="87"/>
      <c r="J75" s="87"/>
      <c r="K75" s="87"/>
      <c r="L75" s="87"/>
      <c r="M75" s="87"/>
      <c r="N75" s="87"/>
      <c r="O75" s="87"/>
      <c r="P75" s="87"/>
      <c r="Q75" s="87"/>
      <c r="R75" s="87"/>
      <c r="S75" s="87"/>
      <c r="T75" s="87"/>
      <c r="U75" s="87"/>
      <c r="V75" s="87"/>
      <c r="W75" s="87"/>
      <c r="X75" s="87"/>
      <c r="Y75" s="87"/>
      <c r="Z75" s="87"/>
    </row>
    <row r="76" spans="1:26" ht="15.75" customHeight="1">
      <c r="A76" s="87"/>
      <c r="B76" s="87"/>
      <c r="C76" s="87"/>
      <c r="D76" s="87"/>
      <c r="E76" s="87"/>
      <c r="F76" s="87"/>
      <c r="G76" s="87"/>
      <c r="H76" s="87"/>
      <c r="I76" s="87"/>
      <c r="J76" s="87"/>
      <c r="K76" s="87"/>
      <c r="L76" s="87"/>
      <c r="M76" s="87"/>
      <c r="N76" s="87"/>
      <c r="O76" s="87"/>
      <c r="P76" s="87"/>
      <c r="Q76" s="87"/>
      <c r="R76" s="87"/>
      <c r="S76" s="87"/>
      <c r="T76" s="87"/>
      <c r="U76" s="87"/>
      <c r="V76" s="87"/>
      <c r="W76" s="87"/>
      <c r="X76" s="87"/>
      <c r="Y76" s="87"/>
      <c r="Z76" s="87"/>
    </row>
    <row r="77" spans="1:26" ht="15.75" customHeight="1">
      <c r="A77" s="87"/>
      <c r="B77" s="87"/>
      <c r="C77" s="87"/>
      <c r="D77" s="87"/>
      <c r="E77" s="87"/>
      <c r="F77" s="87"/>
      <c r="G77" s="87"/>
      <c r="H77" s="87"/>
      <c r="I77" s="87"/>
      <c r="J77" s="87"/>
      <c r="K77" s="87"/>
      <c r="L77" s="87"/>
      <c r="M77" s="87"/>
      <c r="N77" s="87"/>
      <c r="O77" s="87"/>
      <c r="P77" s="87"/>
      <c r="Q77" s="87"/>
      <c r="R77" s="87"/>
      <c r="S77" s="87"/>
      <c r="T77" s="87"/>
      <c r="U77" s="87"/>
      <c r="V77" s="87"/>
      <c r="W77" s="87"/>
      <c r="X77" s="87"/>
      <c r="Y77" s="87"/>
      <c r="Z77" s="87"/>
    </row>
    <row r="78" spans="1:26" ht="15.75" customHeight="1">
      <c r="A78" s="87"/>
      <c r="B78" s="87"/>
      <c r="C78" s="87"/>
      <c r="D78" s="87"/>
      <c r="E78" s="87"/>
      <c r="F78" s="87"/>
      <c r="G78" s="87"/>
      <c r="H78" s="87"/>
      <c r="I78" s="87"/>
      <c r="J78" s="87"/>
      <c r="K78" s="87"/>
      <c r="L78" s="87"/>
      <c r="M78" s="87"/>
      <c r="N78" s="87"/>
      <c r="O78" s="87"/>
      <c r="P78" s="87"/>
      <c r="Q78" s="87"/>
      <c r="R78" s="87"/>
      <c r="S78" s="87"/>
      <c r="T78" s="87"/>
      <c r="U78" s="87"/>
      <c r="V78" s="87"/>
      <c r="W78" s="87"/>
      <c r="X78" s="87"/>
      <c r="Y78" s="87"/>
      <c r="Z78" s="87"/>
    </row>
    <row r="79" spans="1:26" ht="15.75" customHeight="1">
      <c r="A79" s="87"/>
      <c r="B79" s="87"/>
      <c r="C79" s="87"/>
      <c r="D79" s="87"/>
      <c r="E79" s="87"/>
      <c r="F79" s="87"/>
      <c r="G79" s="87"/>
      <c r="H79" s="87"/>
      <c r="I79" s="87"/>
      <c r="J79" s="87"/>
      <c r="K79" s="87"/>
      <c r="L79" s="87"/>
      <c r="M79" s="87"/>
      <c r="N79" s="87"/>
      <c r="O79" s="87"/>
      <c r="P79" s="87"/>
      <c r="Q79" s="87"/>
      <c r="R79" s="87"/>
      <c r="S79" s="87"/>
      <c r="T79" s="87"/>
      <c r="U79" s="87"/>
      <c r="V79" s="87"/>
      <c r="W79" s="87"/>
      <c r="X79" s="87"/>
      <c r="Y79" s="87"/>
      <c r="Z79" s="87"/>
    </row>
    <row r="80" spans="1:26" ht="15.75" customHeight="1">
      <c r="A80" s="87"/>
      <c r="B80" s="87"/>
      <c r="C80" s="87"/>
      <c r="D80" s="87"/>
      <c r="E80" s="87"/>
      <c r="F80" s="87"/>
      <c r="G80" s="87"/>
      <c r="H80" s="87"/>
      <c r="I80" s="87"/>
      <c r="J80" s="87"/>
      <c r="K80" s="87"/>
      <c r="L80" s="87"/>
      <c r="M80" s="87"/>
      <c r="N80" s="87"/>
      <c r="O80" s="87"/>
      <c r="P80" s="87"/>
      <c r="Q80" s="87"/>
      <c r="R80" s="87"/>
      <c r="S80" s="87"/>
      <c r="T80" s="87"/>
      <c r="U80" s="87"/>
      <c r="V80" s="87"/>
      <c r="W80" s="87"/>
      <c r="X80" s="87"/>
      <c r="Y80" s="87"/>
      <c r="Z80" s="87"/>
    </row>
    <row r="81" spans="1:26" ht="15.75" customHeight="1">
      <c r="A81" s="87"/>
      <c r="B81" s="87"/>
      <c r="C81" s="87"/>
      <c r="D81" s="87"/>
      <c r="E81" s="87"/>
      <c r="F81" s="87"/>
      <c r="G81" s="87"/>
      <c r="H81" s="87"/>
      <c r="I81" s="87"/>
      <c r="J81" s="87"/>
      <c r="K81" s="87"/>
      <c r="L81" s="87"/>
      <c r="M81" s="87"/>
      <c r="N81" s="87"/>
      <c r="O81" s="87"/>
      <c r="P81" s="87"/>
      <c r="Q81" s="87"/>
      <c r="R81" s="87"/>
      <c r="S81" s="87"/>
      <c r="T81" s="87"/>
      <c r="U81" s="87"/>
      <c r="V81" s="87"/>
      <c r="W81" s="87"/>
      <c r="X81" s="87"/>
      <c r="Y81" s="87"/>
      <c r="Z81" s="87"/>
    </row>
    <row r="82" spans="1:26" ht="15.75" customHeight="1">
      <c r="A82" s="87"/>
      <c r="B82" s="87"/>
      <c r="C82" s="87"/>
      <c r="D82" s="87"/>
      <c r="E82" s="87"/>
      <c r="F82" s="87"/>
      <c r="G82" s="87"/>
      <c r="H82" s="87"/>
      <c r="I82" s="87"/>
      <c r="J82" s="87"/>
      <c r="K82" s="87"/>
      <c r="L82" s="87"/>
      <c r="M82" s="87"/>
      <c r="N82" s="87"/>
      <c r="O82" s="87"/>
      <c r="P82" s="87"/>
      <c r="Q82" s="87"/>
      <c r="R82" s="87"/>
      <c r="S82" s="87"/>
      <c r="T82" s="87"/>
      <c r="U82" s="87"/>
      <c r="V82" s="87"/>
      <c r="W82" s="87"/>
      <c r="X82" s="87"/>
      <c r="Y82" s="87"/>
      <c r="Z82" s="87"/>
    </row>
    <row r="83" spans="1:26" ht="15.75" customHeight="1">
      <c r="A83" s="87"/>
      <c r="B83" s="87"/>
      <c r="C83" s="87"/>
      <c r="D83" s="87"/>
      <c r="E83" s="87"/>
      <c r="F83" s="87"/>
      <c r="G83" s="87"/>
      <c r="H83" s="87"/>
      <c r="I83" s="87"/>
      <c r="J83" s="87"/>
      <c r="K83" s="87"/>
      <c r="L83" s="87"/>
      <c r="M83" s="87"/>
      <c r="N83" s="87"/>
      <c r="O83" s="87"/>
      <c r="P83" s="87"/>
      <c r="Q83" s="87"/>
      <c r="R83" s="87"/>
      <c r="S83" s="87"/>
      <c r="T83" s="87"/>
      <c r="U83" s="87"/>
      <c r="V83" s="87"/>
      <c r="W83" s="87"/>
      <c r="X83" s="87"/>
      <c r="Y83" s="87"/>
      <c r="Z83" s="87"/>
    </row>
    <row r="84" spans="1:26" ht="15.75" customHeight="1">
      <c r="A84" s="87"/>
      <c r="B84" s="87"/>
      <c r="C84" s="87"/>
      <c r="D84" s="87"/>
      <c r="E84" s="87"/>
      <c r="F84" s="87"/>
      <c r="G84" s="87"/>
      <c r="H84" s="87"/>
      <c r="I84" s="87"/>
      <c r="J84" s="87"/>
      <c r="K84" s="87"/>
      <c r="L84" s="87"/>
      <c r="M84" s="87"/>
      <c r="N84" s="87"/>
      <c r="O84" s="87"/>
      <c r="P84" s="87"/>
      <c r="Q84" s="87"/>
      <c r="R84" s="87"/>
      <c r="S84" s="87"/>
      <c r="T84" s="87"/>
      <c r="U84" s="87"/>
      <c r="V84" s="87"/>
      <c r="W84" s="87"/>
      <c r="X84" s="87"/>
      <c r="Y84" s="87"/>
      <c r="Z84" s="87"/>
    </row>
    <row r="85" spans="1:26" ht="15.75" customHeight="1">
      <c r="A85" s="87"/>
      <c r="B85" s="87"/>
      <c r="C85" s="87"/>
      <c r="D85" s="87"/>
      <c r="E85" s="87"/>
      <c r="F85" s="87"/>
      <c r="G85" s="87"/>
      <c r="H85" s="87"/>
      <c r="I85" s="87"/>
      <c r="J85" s="87"/>
      <c r="K85" s="87"/>
      <c r="L85" s="87"/>
      <c r="M85" s="87"/>
      <c r="N85" s="87"/>
      <c r="O85" s="87"/>
      <c r="P85" s="87"/>
      <c r="Q85" s="87"/>
      <c r="R85" s="87"/>
      <c r="S85" s="87"/>
      <c r="T85" s="87"/>
      <c r="U85" s="87"/>
      <c r="V85" s="87"/>
      <c r="W85" s="87"/>
      <c r="X85" s="87"/>
      <c r="Y85" s="87"/>
      <c r="Z85" s="87"/>
    </row>
    <row r="86" spans="1:26" ht="15.75" customHeight="1">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row>
    <row r="87" spans="1:26" ht="15.75" customHeight="1">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row>
    <row r="88" spans="1:26" ht="15.75" customHeight="1">
      <c r="A88" s="87"/>
      <c r="B88" s="87"/>
      <c r="C88" s="87"/>
      <c r="D88" s="87"/>
      <c r="E88" s="87"/>
      <c r="F88" s="87"/>
      <c r="G88" s="87"/>
      <c r="H88" s="87"/>
      <c r="I88" s="87"/>
      <c r="J88" s="87"/>
      <c r="K88" s="87"/>
      <c r="L88" s="87"/>
      <c r="M88" s="87"/>
      <c r="N88" s="87"/>
      <c r="O88" s="87"/>
      <c r="P88" s="87"/>
      <c r="Q88" s="87"/>
      <c r="R88" s="87"/>
      <c r="S88" s="87"/>
      <c r="T88" s="87"/>
      <c r="U88" s="87"/>
      <c r="V88" s="87"/>
      <c r="W88" s="87"/>
      <c r="X88" s="87"/>
      <c r="Y88" s="87"/>
      <c r="Z88" s="87"/>
    </row>
    <row r="89" spans="1:26" ht="15.75" customHeight="1">
      <c r="A89" s="87"/>
      <c r="B89" s="87"/>
      <c r="C89" s="87"/>
      <c r="D89" s="87"/>
      <c r="E89" s="87"/>
      <c r="F89" s="87"/>
      <c r="G89" s="87"/>
      <c r="H89" s="87"/>
      <c r="I89" s="87"/>
      <c r="J89" s="87"/>
      <c r="K89" s="87"/>
      <c r="L89" s="87"/>
      <c r="M89" s="87"/>
      <c r="N89" s="87"/>
      <c r="O89" s="87"/>
      <c r="P89" s="87"/>
      <c r="Q89" s="87"/>
      <c r="R89" s="87"/>
      <c r="S89" s="87"/>
      <c r="T89" s="87"/>
      <c r="U89" s="87"/>
      <c r="V89" s="87"/>
      <c r="W89" s="87"/>
      <c r="X89" s="87"/>
      <c r="Y89" s="87"/>
      <c r="Z89" s="87"/>
    </row>
    <row r="90" spans="1:26" ht="15.75" customHeight="1">
      <c r="A90" s="87"/>
      <c r="B90" s="87"/>
      <c r="C90" s="87"/>
      <c r="D90" s="87"/>
      <c r="E90" s="87"/>
      <c r="F90" s="87"/>
      <c r="G90" s="87"/>
      <c r="H90" s="87"/>
      <c r="I90" s="87"/>
      <c r="J90" s="87"/>
      <c r="K90" s="87"/>
      <c r="L90" s="87"/>
      <c r="M90" s="87"/>
      <c r="N90" s="87"/>
      <c r="O90" s="87"/>
      <c r="P90" s="87"/>
      <c r="Q90" s="87"/>
      <c r="R90" s="87"/>
      <c r="S90" s="87"/>
      <c r="T90" s="87"/>
      <c r="U90" s="87"/>
      <c r="V90" s="87"/>
      <c r="W90" s="87"/>
      <c r="X90" s="87"/>
      <c r="Y90" s="87"/>
      <c r="Z90" s="87"/>
    </row>
    <row r="91" spans="1:26" ht="15.75" customHeight="1">
      <c r="A91" s="87"/>
      <c r="B91" s="87"/>
      <c r="C91" s="87"/>
      <c r="D91" s="87"/>
      <c r="E91" s="87"/>
      <c r="F91" s="87"/>
      <c r="G91" s="87"/>
      <c r="H91" s="87"/>
      <c r="I91" s="87"/>
      <c r="J91" s="87"/>
      <c r="K91" s="87"/>
      <c r="L91" s="87"/>
      <c r="M91" s="87"/>
      <c r="N91" s="87"/>
      <c r="O91" s="87"/>
      <c r="P91" s="87"/>
      <c r="Q91" s="87"/>
      <c r="R91" s="87"/>
      <c r="S91" s="87"/>
      <c r="T91" s="87"/>
      <c r="U91" s="87"/>
      <c r="V91" s="87"/>
      <c r="W91" s="87"/>
      <c r="X91" s="87"/>
      <c r="Y91" s="87"/>
      <c r="Z91" s="87"/>
    </row>
    <row r="92" spans="1:26" ht="15.75" customHeight="1">
      <c r="A92" s="87"/>
      <c r="B92" s="87"/>
      <c r="C92" s="87"/>
      <c r="D92" s="87"/>
      <c r="E92" s="87"/>
      <c r="F92" s="87"/>
      <c r="G92" s="87"/>
      <c r="H92" s="87"/>
      <c r="I92" s="87"/>
      <c r="J92" s="87"/>
      <c r="K92" s="87"/>
      <c r="L92" s="87"/>
      <c r="M92" s="87"/>
      <c r="N92" s="87"/>
      <c r="O92" s="87"/>
      <c r="P92" s="87"/>
      <c r="Q92" s="87"/>
      <c r="R92" s="87"/>
      <c r="S92" s="87"/>
      <c r="T92" s="87"/>
      <c r="U92" s="87"/>
      <c r="V92" s="87"/>
      <c r="W92" s="87"/>
      <c r="X92" s="87"/>
      <c r="Y92" s="87"/>
      <c r="Z92" s="87"/>
    </row>
    <row r="93" spans="1:26" ht="15.75" customHeight="1">
      <c r="A93" s="87"/>
      <c r="B93" s="87"/>
      <c r="C93" s="87"/>
      <c r="D93" s="87"/>
      <c r="E93" s="87"/>
      <c r="F93" s="87"/>
      <c r="G93" s="87"/>
      <c r="H93" s="87"/>
      <c r="I93" s="87"/>
      <c r="J93" s="87"/>
      <c r="K93" s="87"/>
      <c r="L93" s="87"/>
      <c r="M93" s="87"/>
      <c r="N93" s="87"/>
      <c r="O93" s="87"/>
      <c r="P93" s="87"/>
      <c r="Q93" s="87"/>
      <c r="R93" s="87"/>
      <c r="S93" s="87"/>
      <c r="T93" s="87"/>
      <c r="U93" s="87"/>
      <c r="V93" s="87"/>
      <c r="W93" s="87"/>
      <c r="X93" s="87"/>
      <c r="Y93" s="87"/>
      <c r="Z93" s="87"/>
    </row>
    <row r="94" spans="1:26" ht="15.75" customHeight="1">
      <c r="A94" s="87"/>
      <c r="B94" s="87"/>
      <c r="C94" s="87"/>
      <c r="D94" s="87"/>
      <c r="E94" s="87"/>
      <c r="F94" s="87"/>
      <c r="G94" s="87"/>
      <c r="H94" s="87"/>
      <c r="I94" s="87"/>
      <c r="J94" s="87"/>
      <c r="K94" s="87"/>
      <c r="L94" s="87"/>
      <c r="M94" s="87"/>
      <c r="N94" s="87"/>
      <c r="O94" s="87"/>
      <c r="P94" s="87"/>
      <c r="Q94" s="87"/>
      <c r="R94" s="87"/>
      <c r="S94" s="87"/>
      <c r="T94" s="87"/>
      <c r="U94" s="87"/>
      <c r="V94" s="87"/>
      <c r="W94" s="87"/>
      <c r="X94" s="87"/>
      <c r="Y94" s="87"/>
      <c r="Z94" s="87"/>
    </row>
    <row r="95" spans="1:26" ht="15.75" customHeight="1">
      <c r="A95" s="87"/>
      <c r="B95" s="87"/>
      <c r="C95" s="87"/>
      <c r="D95" s="87"/>
      <c r="E95" s="87"/>
      <c r="F95" s="87"/>
      <c r="G95" s="87"/>
      <c r="H95" s="87"/>
      <c r="I95" s="87"/>
      <c r="J95" s="87"/>
      <c r="K95" s="87"/>
      <c r="L95" s="87"/>
      <c r="M95" s="87"/>
      <c r="N95" s="87"/>
      <c r="O95" s="87"/>
      <c r="P95" s="87"/>
      <c r="Q95" s="87"/>
      <c r="R95" s="87"/>
      <c r="S95" s="87"/>
      <c r="T95" s="87"/>
      <c r="U95" s="87"/>
      <c r="V95" s="87"/>
      <c r="W95" s="87"/>
      <c r="X95" s="87"/>
      <c r="Y95" s="87"/>
      <c r="Z95" s="87"/>
    </row>
    <row r="96" spans="1:26" ht="15.75" customHeight="1">
      <c r="A96" s="87"/>
      <c r="B96" s="87"/>
      <c r="C96" s="87"/>
      <c r="D96" s="87"/>
      <c r="E96" s="87"/>
      <c r="F96" s="87"/>
      <c r="G96" s="87"/>
      <c r="H96" s="87"/>
      <c r="I96" s="87"/>
      <c r="J96" s="87"/>
      <c r="K96" s="87"/>
      <c r="L96" s="87"/>
      <c r="M96" s="87"/>
      <c r="N96" s="87"/>
      <c r="O96" s="87"/>
      <c r="P96" s="87"/>
      <c r="Q96" s="87"/>
      <c r="R96" s="87"/>
      <c r="S96" s="87"/>
      <c r="T96" s="87"/>
      <c r="U96" s="87"/>
      <c r="V96" s="87"/>
      <c r="W96" s="87"/>
      <c r="X96" s="87"/>
      <c r="Y96" s="87"/>
      <c r="Z96" s="87"/>
    </row>
    <row r="97" spans="1:26" ht="15.75" customHeight="1">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row>
    <row r="98" spans="1:26" ht="15.75" customHeight="1">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row>
    <row r="99" spans="1:26" ht="15.75" customHeight="1">
      <c r="A99" s="87"/>
      <c r="B99" s="87"/>
      <c r="C99" s="87"/>
      <c r="D99" s="87"/>
      <c r="E99" s="87"/>
      <c r="F99" s="87"/>
      <c r="G99" s="87"/>
      <c r="H99" s="87"/>
      <c r="I99" s="87"/>
      <c r="J99" s="87"/>
      <c r="K99" s="87"/>
      <c r="L99" s="87"/>
      <c r="M99" s="87"/>
      <c r="N99" s="87"/>
      <c r="O99" s="87"/>
      <c r="P99" s="87"/>
      <c r="Q99" s="87"/>
      <c r="R99" s="87"/>
      <c r="S99" s="87"/>
      <c r="T99" s="87"/>
      <c r="U99" s="87"/>
      <c r="V99" s="87"/>
      <c r="W99" s="87"/>
      <c r="X99" s="87"/>
      <c r="Y99" s="87"/>
      <c r="Z99" s="87"/>
    </row>
    <row r="100" spans="1:26" ht="15.75" customHeight="1">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row>
    <row r="101" spans="1:26" ht="15.75" customHeight="1">
      <c r="A101" s="87"/>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row>
    <row r="102" spans="1:26" ht="15.75" customHeight="1">
      <c r="A102" s="87"/>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row>
    <row r="103" spans="1:26" ht="15.75" customHeight="1">
      <c r="A103" s="87"/>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row>
    <row r="104" spans="1:26" ht="15.75" customHeight="1">
      <c r="A104" s="87"/>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row>
    <row r="105" spans="1:26" ht="15.75" customHeight="1">
      <c r="A105" s="87"/>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row>
    <row r="106" spans="1:26" ht="15.75" customHeight="1">
      <c r="A106" s="87"/>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row>
    <row r="107" spans="1:26" ht="15.75" customHeight="1">
      <c r="A107" s="87"/>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row>
    <row r="108" spans="1:26" ht="15.75" customHeight="1">
      <c r="A108" s="87"/>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87"/>
      <c r="Z108" s="87"/>
    </row>
    <row r="109" spans="1:26" ht="15.75" customHeight="1">
      <c r="A109" s="87"/>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row>
    <row r="110" spans="1:26" ht="15.75" customHeight="1">
      <c r="A110" s="87"/>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row>
    <row r="111" spans="1:26" ht="15.75" customHeight="1">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row>
    <row r="112" spans="1:26" ht="15.75" customHeight="1">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row>
    <row r="113" spans="1:26" ht="15.75" customHeight="1">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row>
    <row r="114" spans="1:26" ht="15.75" customHeight="1">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row>
    <row r="115" spans="1:26" ht="15.75" customHeight="1">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row>
    <row r="116" spans="1:26" ht="15.75" customHeight="1">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row>
    <row r="117" spans="1:26" ht="15.75" customHeight="1">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row>
    <row r="118" spans="1:26" ht="15.75" customHeight="1">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row>
    <row r="119" spans="1:26" ht="15.75" customHeight="1">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row>
    <row r="120" spans="1:26" ht="15.75" customHeight="1">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row>
    <row r="121" spans="1:26" ht="15.75" customHeight="1">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row>
    <row r="122" spans="1:26" ht="15.75" customHeight="1">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row>
    <row r="123" spans="1:26" ht="15.75" customHeight="1">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row>
    <row r="124" spans="1:26" ht="15.75" customHeight="1">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row>
    <row r="125" spans="1:26" ht="15.75" customHeight="1">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row>
    <row r="126" spans="1:26" ht="15.75" customHeight="1">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row>
    <row r="127" spans="1:26" ht="15.75" customHeight="1">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row>
    <row r="128" spans="1:26" ht="15.75" customHeight="1">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row>
    <row r="129" spans="1:26" ht="15.75" customHeight="1">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row>
    <row r="130" spans="1:26" ht="15.75" customHeight="1">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row>
    <row r="131" spans="1:26" ht="15.75" customHeight="1">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row>
    <row r="132" spans="1:26" ht="15.75" customHeight="1">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row>
    <row r="133" spans="1:26" ht="15.75" customHeight="1">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row>
    <row r="134" spans="1:26" ht="15.75" customHeight="1">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row>
    <row r="135" spans="1:26" ht="15.75" customHeight="1">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row>
    <row r="136" spans="1:26" ht="15.75" customHeight="1">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row>
    <row r="137" spans="1:26" ht="15.75" customHeight="1">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row>
    <row r="138" spans="1:26" ht="15.75" customHeight="1">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row>
    <row r="139" spans="1:26" ht="15.75" customHeight="1">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row>
    <row r="140" spans="1:26" ht="15.75" customHeight="1">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row>
    <row r="141" spans="1:26" ht="15.75" customHeight="1">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row>
    <row r="142" spans="1:26" ht="15.75" customHeight="1">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row>
    <row r="143" spans="1:26" ht="15.75" customHeight="1">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row>
    <row r="144" spans="1:26" ht="15.75" customHeight="1">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row>
    <row r="145" spans="1:26" ht="15.75" customHeight="1">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row>
    <row r="146" spans="1:26" ht="15.75" customHeight="1">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row>
    <row r="147" spans="1:26" ht="15.75" customHeight="1">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row>
    <row r="148" spans="1:26" ht="15.75" customHeight="1">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row>
    <row r="149" spans="1:26" ht="15.75" customHeight="1">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row>
    <row r="150" spans="1:26" ht="15.75" customHeight="1">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26" ht="15.75" customHeight="1">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row>
    <row r="152" spans="1:26" ht="15.75" customHeight="1">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row>
    <row r="153" spans="1:26" ht="15.75" customHeight="1">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row>
    <row r="154" spans="1:26" ht="15.75" customHeight="1">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row>
    <row r="155" spans="1:26" ht="15.75" customHeight="1">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row>
    <row r="156" spans="1:26" ht="15.75" customHeight="1">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row>
    <row r="157" spans="1:26" ht="15.75" customHeight="1">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row>
    <row r="158" spans="1:26" ht="15.75" customHeight="1">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row>
    <row r="159" spans="1:26" ht="15.75" customHeight="1">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row>
    <row r="160" spans="1:26" ht="15.75" customHeight="1">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row>
    <row r="161" spans="1:26" ht="15.75" customHeight="1">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row>
    <row r="162" spans="1:26" ht="15.75" customHeight="1">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row>
    <row r="163" spans="1:26" ht="15.75" customHeight="1">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row>
    <row r="164" spans="1:26" ht="15.75" customHeight="1">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row>
    <row r="165" spans="1:26" ht="15.75" customHeight="1">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row>
    <row r="166" spans="1:26" ht="15.75" customHeight="1">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row>
    <row r="167" spans="1:26" ht="15.75" customHeight="1">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row>
    <row r="168" spans="1:26" ht="15.75" customHeight="1">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row>
    <row r="169" spans="1:26" ht="15.75" customHeight="1">
      <c r="A169" s="87"/>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row>
    <row r="170" spans="1:26" ht="15.75" customHeight="1">
      <c r="A170" s="87"/>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row>
    <row r="171" spans="1:26" ht="15.75" customHeight="1">
      <c r="A171" s="87"/>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row>
    <row r="172" spans="1:26" ht="15.75" customHeight="1">
      <c r="A172" s="87"/>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row>
    <row r="173" spans="1:26" ht="15.75" customHeight="1">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row>
    <row r="174" spans="1:26" ht="15.75" customHeight="1">
      <c r="A174" s="87"/>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row>
    <row r="175" spans="1:26" ht="15.75" customHeight="1">
      <c r="A175" s="87"/>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row>
    <row r="176" spans="1:26" ht="15.75" customHeight="1">
      <c r="A176" s="87"/>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row>
    <row r="177" spans="1:26" ht="15.75" customHeight="1">
      <c r="A177" s="87"/>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row>
    <row r="178" spans="1:26" ht="15.75" customHeight="1">
      <c r="A178" s="87"/>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row>
    <row r="179" spans="1:26" ht="15.75" customHeight="1">
      <c r="A179" s="87"/>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row>
    <row r="180" spans="1:26" ht="15.75" customHeight="1">
      <c r="A180" s="87"/>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row>
    <row r="181" spans="1:26" ht="15.75" customHeight="1">
      <c r="A181" s="87"/>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row>
    <row r="182" spans="1:26" ht="15.75" customHeight="1">
      <c r="A182" s="87"/>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row>
    <row r="183" spans="1:26" ht="15.75" customHeight="1">
      <c r="A183" s="87"/>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row>
    <row r="184" spans="1:26" ht="15.75" customHeight="1">
      <c r="A184" s="87"/>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row>
    <row r="185" spans="1:26" ht="15.75" customHeight="1">
      <c r="A185" s="87"/>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row>
    <row r="186" spans="1:26" ht="15.75" customHeight="1">
      <c r="A186" s="87"/>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row>
    <row r="187" spans="1:26" ht="15.75" customHeight="1">
      <c r="A187" s="87"/>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row>
    <row r="188" spans="1:26" ht="15.75" customHeight="1">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row>
    <row r="189" spans="1:26" ht="15.75" customHeight="1">
      <c r="A189" s="87"/>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row>
    <row r="190" spans="1:26" ht="15.75" customHeight="1">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row>
    <row r="191" spans="1:26" ht="15.75" customHeight="1">
      <c r="A191" s="87"/>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row>
    <row r="192" spans="1:26" ht="15.75" customHeight="1">
      <c r="A192" s="87"/>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row>
    <row r="193" spans="1:26" ht="15.75" customHeight="1">
      <c r="A193" s="87"/>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row>
    <row r="194" spans="1:26" ht="15.75" customHeight="1">
      <c r="A194" s="87"/>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row>
    <row r="195" spans="1:26" ht="15.75" customHeight="1">
      <c r="A195" s="87"/>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row>
    <row r="196" spans="1:26" ht="15.75" customHeight="1">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row>
    <row r="197" spans="1:26" ht="15.75" customHeight="1">
      <c r="A197" s="87"/>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row>
    <row r="198" spans="1:26" ht="15.75" customHeight="1">
      <c r="A198" s="87"/>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row>
    <row r="199" spans="1:26" ht="15.75" customHeight="1">
      <c r="A199" s="87"/>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row>
    <row r="200" spans="1:26" ht="15.75" customHeight="1">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row>
    <row r="201" spans="1:26" ht="15.75" customHeight="1">
      <c r="A201" s="87"/>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row>
    <row r="202" spans="1:26" ht="15.75" customHeight="1">
      <c r="A202" s="87"/>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row>
    <row r="203" spans="1:26" ht="15.75" customHeight="1">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row>
    <row r="204" spans="1:26" ht="15.75" customHeight="1">
      <c r="A204" s="87"/>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row>
    <row r="205" spans="1:26" ht="15.75" customHeight="1">
      <c r="A205" s="87"/>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row>
    <row r="206" spans="1:26" ht="15.75" customHeight="1">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row>
    <row r="207" spans="1:26" ht="15.75" customHeight="1">
      <c r="A207" s="87"/>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row>
    <row r="208" spans="1:26" ht="15.75" customHeight="1">
      <c r="A208" s="87"/>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row>
    <row r="209" spans="1:26" ht="15.75" customHeight="1">
      <c r="A209" s="87"/>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row>
    <row r="210" spans="1:26" ht="15.75" customHeight="1">
      <c r="A210" s="87"/>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row>
    <row r="211" spans="1:26" ht="15.75" customHeight="1">
      <c r="A211" s="87"/>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row>
    <row r="212" spans="1:26" ht="15.75" customHeight="1">
      <c r="A212" s="87"/>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row>
    <row r="213" spans="1:26" ht="15.75" customHeight="1">
      <c r="A213" s="87"/>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row>
    <row r="214" spans="1:26" ht="15.75" customHeight="1">
      <c r="A214" s="87"/>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row>
    <row r="215" spans="1:26" ht="15.75" customHeight="1">
      <c r="A215" s="87"/>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row>
    <row r="216" spans="1:26" ht="15.75" customHeight="1">
      <c r="A216" s="87"/>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row>
    <row r="217" spans="1:26" ht="15.75" customHeight="1">
      <c r="A217" s="87"/>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row>
    <row r="218" spans="1:26" ht="15.75" customHeight="1">
      <c r="A218" s="87"/>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row>
    <row r="219" spans="1:26" ht="15.75" customHeight="1">
      <c r="A219" s="87"/>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row>
    <row r="220" spans="1:26" ht="15.75" customHeight="1">
      <c r="A220" s="87"/>
      <c r="B220" s="87"/>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row>
    <row r="221" spans="1:26" ht="15.75" customHeight="1">
      <c r="A221" s="87"/>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row>
    <row r="222" spans="1:26" ht="15.75" customHeight="1">
      <c r="A222" s="87"/>
      <c r="B222" s="87"/>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row>
    <row r="223" spans="1:26" ht="15.75" customHeight="1">
      <c r="A223" s="87"/>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row>
    <row r="224" spans="1:26" ht="15.75" customHeight="1">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row>
    <row r="225" spans="1:26" ht="15.75" customHeight="1">
      <c r="A225" s="87"/>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row>
    <row r="226" spans="1:26" ht="15.75" customHeight="1">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row>
    <row r="227" spans="1:26" ht="15.75" customHeight="1">
      <c r="A227" s="87"/>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row>
    <row r="228" spans="1:26" ht="15.75" customHeight="1">
      <c r="A228" s="87"/>
      <c r="B228" s="87"/>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row>
    <row r="229" spans="1:26" ht="15.75" customHeight="1">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row>
    <row r="230" spans="1:26" ht="15.75" customHeight="1">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row>
    <row r="231" spans="1:26" ht="15.75" customHeight="1">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row>
    <row r="232" spans="1:26" ht="15.75" customHeight="1">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row>
    <row r="233" spans="1:26" ht="15.75" customHeight="1">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row>
    <row r="234" spans="1:26" ht="15.75" customHeight="1">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row>
    <row r="235" spans="1:26" ht="15.75" customHeight="1">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row>
    <row r="236" spans="1:26" ht="15.75" customHeight="1">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row>
    <row r="237" spans="1:26" ht="15.75" customHeight="1">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row>
    <row r="238" spans="1:26" ht="15.75" customHeight="1">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row>
    <row r="239" spans="1:26" ht="15.75" customHeight="1">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row>
    <row r="240" spans="1:26" ht="15.75" customHeight="1">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row>
    <row r="241" spans="1:26" ht="15.75" customHeight="1">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row>
    <row r="242" spans="1:26" ht="15.75" customHeight="1">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row>
    <row r="243" spans="1:26" ht="15.75" customHeight="1">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row>
    <row r="244" spans="1:26" ht="15.75" customHeight="1">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row>
    <row r="245" spans="1:26" ht="15.75" customHeight="1">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row>
    <row r="246" spans="1:26" ht="15.75" customHeight="1">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row>
    <row r="247" spans="1:26" ht="15.75" customHeight="1">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row>
    <row r="248" spans="1:26" ht="15.75" customHeight="1">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row>
    <row r="249" spans="1:26" ht="15.75" customHeight="1">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row>
    <row r="250" spans="1:26" ht="15.75" customHeight="1">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row>
    <row r="251" spans="1:26" ht="15.75" customHeight="1">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row>
    <row r="252" spans="1:26" ht="15.75" customHeight="1">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row>
    <row r="253" spans="1:26" ht="15.75" customHeight="1">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row>
    <row r="254" spans="1:26" ht="15.75" customHeight="1">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row>
    <row r="255" spans="1:26" ht="15.75" customHeight="1">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row>
    <row r="256" spans="1:26" ht="15.75" customHeight="1">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row>
    <row r="257" spans="1:26" ht="15.75" customHeight="1">
      <c r="A257" s="87"/>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row>
    <row r="258" spans="1:26" ht="15.75" customHeight="1">
      <c r="A258" s="87"/>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row>
    <row r="259" spans="1:26" ht="15.75" customHeight="1">
      <c r="A259" s="87"/>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row>
    <row r="260" spans="1:26" ht="15.75" customHeight="1">
      <c r="A260" s="87"/>
      <c r="B260" s="87"/>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row>
    <row r="261" spans="1:26" ht="15.75" customHeight="1">
      <c r="A261" s="87"/>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row>
    <row r="262" spans="1:26" ht="15.75" customHeight="1">
      <c r="A262" s="87"/>
      <c r="B262" s="87"/>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row>
    <row r="263" spans="1:26" ht="15.75" customHeight="1">
      <c r="A263" s="87"/>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row>
    <row r="264" spans="1:26" ht="15.75" customHeight="1">
      <c r="A264" s="87"/>
      <c r="B264" s="87"/>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row>
    <row r="265" spans="1:26" ht="15.75" customHeight="1">
      <c r="A265" s="87"/>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row>
    <row r="266" spans="1:26" ht="15.75" customHeight="1">
      <c r="A266" s="87"/>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row>
    <row r="267" spans="1:26" ht="15.75" customHeight="1">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row>
    <row r="268" spans="1:26" ht="15.75" customHeight="1">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row>
    <row r="269" spans="1:26" ht="15.75" customHeight="1">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row>
    <row r="270" spans="1:26" ht="15.75" customHeight="1">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row>
    <row r="271" spans="1:26" ht="15.75" customHeight="1">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row>
    <row r="272" spans="1:26" ht="15.75" customHeight="1">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row>
    <row r="273" spans="1:26" ht="15.75" customHeight="1">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row>
    <row r="274" spans="1:26" ht="15.75" customHeight="1">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row>
    <row r="275" spans="1:26" ht="15.75" customHeight="1">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row>
    <row r="276" spans="1:26" ht="15.75" customHeight="1">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row>
    <row r="277" spans="1:26" ht="15.75" customHeight="1">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row>
    <row r="278" spans="1:26" ht="15.75" customHeight="1">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row>
    <row r="279" spans="1:26" ht="15.75" customHeight="1">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row>
    <row r="280" spans="1:26" ht="15.75" customHeight="1">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row>
    <row r="281" spans="1:26" ht="15.75" customHeight="1">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row>
    <row r="282" spans="1:26" ht="15.75" customHeight="1">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row>
    <row r="283" spans="1:26" ht="15.75" customHeight="1">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row>
    <row r="284" spans="1:26" ht="15.75" customHeight="1">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row>
    <row r="285" spans="1:26" ht="15.75" customHeight="1">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row>
    <row r="286" spans="1:26" ht="15.75" customHeight="1">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row>
    <row r="287" spans="1:26" ht="15.75" customHeight="1">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row>
    <row r="288" spans="1:26" ht="15.75" customHeight="1">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row>
    <row r="289" spans="1:26" ht="15.75" customHeight="1">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row>
    <row r="290" spans="1:26" ht="15.75" customHeight="1">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row>
    <row r="291" spans="1:26" ht="15.75" customHeight="1">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row>
    <row r="292" spans="1:26" ht="15.75" customHeight="1">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row>
    <row r="293" spans="1:26" ht="15.75" customHeight="1">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row>
    <row r="294" spans="1:26" ht="15.75" customHeight="1">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row>
    <row r="295" spans="1:26" ht="15.75" customHeight="1">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row>
    <row r="296" spans="1:26" ht="15.75" customHeight="1">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row>
    <row r="297" spans="1:26" ht="15.75" customHeight="1">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row>
    <row r="298" spans="1:26" ht="15.75" customHeight="1">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row>
    <row r="299" spans="1:26" ht="15.75" customHeight="1">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row>
    <row r="300" spans="1:26" ht="15.75" customHeight="1">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row>
    <row r="301" spans="1:26" ht="15.75" customHeight="1">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row>
    <row r="302" spans="1:26" ht="15.75" customHeight="1">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row>
    <row r="303" spans="1:26" ht="15.75" customHeight="1">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row>
    <row r="304" spans="1:26" ht="15.75" customHeight="1">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row>
    <row r="305" spans="1:26" ht="15.75" customHeight="1">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row>
    <row r="306" spans="1:26" ht="15.75" customHeight="1">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row>
    <row r="307" spans="1:26" ht="15.75" customHeight="1">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row>
    <row r="308" spans="1:26" ht="15.75" customHeight="1">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row>
    <row r="309" spans="1:26" ht="15.75" customHeight="1">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row>
    <row r="310" spans="1:26" ht="15.75" customHeight="1">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row>
    <row r="311" spans="1:26" ht="15.75" customHeight="1">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row>
    <row r="312" spans="1:26" ht="15.75" customHeight="1">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row>
    <row r="313" spans="1:26" ht="15.75" customHeight="1">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row>
    <row r="314" spans="1:26" ht="15.75" customHeight="1">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row>
    <row r="315" spans="1:26" ht="15.75" customHeight="1">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row>
    <row r="316" spans="1:26" ht="15.75" customHeight="1">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row>
    <row r="317" spans="1:26" ht="15.75" customHeight="1">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row>
    <row r="318" spans="1:26" ht="15.75" customHeight="1">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row>
    <row r="319" spans="1:26" ht="15.75" customHeight="1">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row>
    <row r="320" spans="1:26" ht="15.75" customHeight="1">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row>
    <row r="321" spans="1:26" ht="15.75" customHeight="1">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row>
    <row r="322" spans="1:26" ht="15.75" customHeight="1">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row>
    <row r="323" spans="1:26" ht="15.75" customHeight="1">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row>
    <row r="324" spans="1:26" ht="15.75" customHeight="1">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row>
    <row r="325" spans="1:26" ht="15.75" customHeight="1">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row>
    <row r="326" spans="1:26" ht="15.75" customHeight="1">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row>
    <row r="327" spans="1:26" ht="15.75" customHeight="1">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row>
    <row r="328" spans="1:26" ht="15.75" customHeight="1">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row>
    <row r="329" spans="1:26" ht="15.75" customHeight="1">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row>
    <row r="330" spans="1:26" ht="15.75" customHeight="1">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row>
    <row r="331" spans="1:26" ht="15.75" customHeight="1">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row>
    <row r="332" spans="1:26" ht="15.75" customHeight="1">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row>
    <row r="333" spans="1:26" ht="15.75" customHeight="1">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row>
    <row r="334" spans="1:26" ht="15.75" customHeight="1">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row>
    <row r="335" spans="1:26" ht="15.75" customHeight="1">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row>
    <row r="336" spans="1:26" ht="15.75" customHeight="1">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row>
    <row r="337" spans="1:26" ht="15.75" customHeight="1">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row>
    <row r="338" spans="1:26" ht="15.75" customHeight="1">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row>
    <row r="339" spans="1:26" ht="15.75" customHeight="1">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row>
    <row r="340" spans="1:26" ht="15.75" customHeight="1">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row>
    <row r="341" spans="1:26" ht="15.75" customHeight="1">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row>
    <row r="342" spans="1:26" ht="15.75" customHeight="1">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row>
    <row r="343" spans="1:26" ht="15.75" customHeight="1">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row>
    <row r="344" spans="1:26" ht="15.75" customHeight="1">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row>
    <row r="345" spans="1:26" ht="15.75" customHeight="1">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row>
    <row r="346" spans="1:26" ht="15.75" customHeight="1">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row>
    <row r="347" spans="1:26" ht="15.75" customHeight="1">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row>
    <row r="348" spans="1:26" ht="15.75" customHeight="1">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row>
    <row r="349" spans="1:26" ht="15.75" customHeight="1">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row>
    <row r="350" spans="1:26" ht="15.75" customHeight="1">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row>
    <row r="351" spans="1:26" ht="15.75" customHeight="1">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row>
    <row r="352" spans="1:26" ht="15.75" customHeight="1">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row>
    <row r="353" spans="1:26" ht="15.75" customHeight="1">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row>
    <row r="354" spans="1:26" ht="15.75" customHeight="1">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row>
    <row r="355" spans="1:26" ht="15.75" customHeight="1">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row>
    <row r="356" spans="1:26" ht="15.75" customHeight="1">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row>
    <row r="357" spans="1:26" ht="15.75" customHeight="1">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row>
    <row r="358" spans="1:26" ht="15.75" customHeight="1">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row>
    <row r="359" spans="1:26" ht="15.75" customHeight="1">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row>
    <row r="360" spans="1:26" ht="15.75" customHeight="1">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row>
    <row r="361" spans="1:26" ht="15.75" customHeight="1">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row>
    <row r="362" spans="1:26" ht="15.75" customHeight="1">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row>
    <row r="363" spans="1:26" ht="15.75" customHeight="1">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row>
    <row r="364" spans="1:26" ht="15.75" customHeight="1">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row>
    <row r="365" spans="1:26" ht="15.75" customHeight="1">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row>
    <row r="366" spans="1:26" ht="15.75" customHeight="1">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row>
    <row r="367" spans="1:26" ht="15.75" customHeight="1">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row>
    <row r="368" spans="1:26" ht="15.75" customHeight="1">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row>
    <row r="369" spans="1:26" ht="15.75" customHeight="1">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row>
    <row r="370" spans="1:26" ht="15.75" customHeight="1">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row>
    <row r="371" spans="1:26" ht="15.75" customHeight="1">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row>
    <row r="372" spans="1:26" ht="15.75" customHeight="1">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row>
    <row r="373" spans="1:26" ht="15.75" customHeight="1">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row>
    <row r="374" spans="1:26" ht="15.75" customHeight="1">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row>
    <row r="375" spans="1:26" ht="15.75" customHeight="1">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row>
    <row r="376" spans="1:26" ht="15.75" customHeight="1">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row>
    <row r="377" spans="1:26" ht="15.75" customHeight="1">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row>
    <row r="378" spans="1:26" ht="15.75" customHeight="1">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row>
    <row r="379" spans="1:26" ht="15.75" customHeight="1">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row>
    <row r="380" spans="1:26" ht="15.75" customHeight="1">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row>
    <row r="381" spans="1:26" ht="15.75" customHeight="1">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row>
    <row r="382" spans="1:26" ht="15.75" customHeight="1">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row>
    <row r="383" spans="1:26" ht="15.75" customHeight="1">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row>
    <row r="384" spans="1:26" ht="15.75" customHeight="1">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row>
    <row r="385" spans="1:26" ht="15.75" customHeight="1">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row>
    <row r="386" spans="1:26" ht="15.75" customHeight="1">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row>
    <row r="387" spans="1:26" ht="15.75" customHeight="1">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row>
    <row r="388" spans="1:26" ht="15.75" customHeight="1">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row>
    <row r="389" spans="1:26" ht="15.75" customHeight="1">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row>
    <row r="390" spans="1:26" ht="15.75" customHeight="1">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row>
    <row r="391" spans="1:26" ht="15.75" customHeight="1">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row>
    <row r="392" spans="1:26" ht="15.75" customHeight="1">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row>
    <row r="393" spans="1:26" ht="15.75" customHeight="1">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row>
    <row r="394" spans="1:26" ht="15.75" customHeight="1">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row>
    <row r="395" spans="1:26" ht="15.75" customHeight="1">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row>
    <row r="396" spans="1:26" ht="15.75" customHeight="1">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row>
    <row r="397" spans="1:26" ht="15.75" customHeight="1">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row>
    <row r="398" spans="1:26" ht="15.75" customHeight="1">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row>
    <row r="399" spans="1:26" ht="15.75" customHeight="1">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row>
    <row r="400" spans="1:26" ht="15.75" customHeight="1">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row>
    <row r="401" spans="1:26" ht="15.75" customHeight="1">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row>
    <row r="402" spans="1:26" ht="15.75" customHeight="1">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row>
    <row r="403" spans="1:26" ht="15.75" customHeight="1">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row>
    <row r="404" spans="1:26" ht="15.75" customHeight="1">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row>
    <row r="405" spans="1:26" ht="15.75" customHeight="1">
      <c r="A405" s="87"/>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row>
    <row r="406" spans="1:26" ht="15.75" customHeight="1">
      <c r="A406" s="87"/>
      <c r="B406" s="87"/>
      <c r="C406" s="87"/>
      <c r="D406" s="87"/>
      <c r="E406" s="87"/>
      <c r="F406" s="87"/>
      <c r="G406" s="87"/>
      <c r="H406" s="87"/>
      <c r="I406" s="87"/>
      <c r="J406" s="87"/>
      <c r="K406" s="87"/>
      <c r="L406" s="87"/>
      <c r="M406" s="87"/>
      <c r="N406" s="87"/>
      <c r="O406" s="87"/>
      <c r="P406" s="87"/>
      <c r="Q406" s="87"/>
      <c r="R406" s="87"/>
      <c r="S406" s="87"/>
      <c r="T406" s="87"/>
      <c r="U406" s="87"/>
      <c r="V406" s="87"/>
      <c r="W406" s="87"/>
      <c r="X406" s="87"/>
      <c r="Y406" s="87"/>
      <c r="Z406" s="87"/>
    </row>
    <row r="407" spans="1:26" ht="15.75" customHeight="1">
      <c r="A407" s="87"/>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row>
    <row r="408" spans="1:26" ht="15.75" customHeight="1">
      <c r="A408" s="87"/>
      <c r="B408" s="87"/>
      <c r="C408" s="87"/>
      <c r="D408" s="87"/>
      <c r="E408" s="87"/>
      <c r="F408" s="87"/>
      <c r="G408" s="87"/>
      <c r="H408" s="87"/>
      <c r="I408" s="87"/>
      <c r="J408" s="87"/>
      <c r="K408" s="87"/>
      <c r="L408" s="87"/>
      <c r="M408" s="87"/>
      <c r="N408" s="87"/>
      <c r="O408" s="87"/>
      <c r="P408" s="87"/>
      <c r="Q408" s="87"/>
      <c r="R408" s="87"/>
      <c r="S408" s="87"/>
      <c r="T408" s="87"/>
      <c r="U408" s="87"/>
      <c r="V408" s="87"/>
      <c r="W408" s="87"/>
      <c r="X408" s="87"/>
      <c r="Y408" s="87"/>
      <c r="Z408" s="87"/>
    </row>
    <row r="409" spans="1:26" ht="15.75" customHeight="1">
      <c r="A409" s="87"/>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row>
    <row r="410" spans="1:26" ht="15.75" customHeight="1">
      <c r="A410" s="87"/>
      <c r="B410" s="87"/>
      <c r="C410" s="87"/>
      <c r="D410" s="87"/>
      <c r="E410" s="87"/>
      <c r="F410" s="87"/>
      <c r="G410" s="87"/>
      <c r="H410" s="87"/>
      <c r="I410" s="87"/>
      <c r="J410" s="87"/>
      <c r="K410" s="87"/>
      <c r="L410" s="87"/>
      <c r="M410" s="87"/>
      <c r="N410" s="87"/>
      <c r="O410" s="87"/>
      <c r="P410" s="87"/>
      <c r="Q410" s="87"/>
      <c r="R410" s="87"/>
      <c r="S410" s="87"/>
      <c r="T410" s="87"/>
      <c r="U410" s="87"/>
      <c r="V410" s="87"/>
      <c r="W410" s="87"/>
      <c r="X410" s="87"/>
      <c r="Y410" s="87"/>
      <c r="Z410" s="87"/>
    </row>
    <row r="411" spans="1:26" ht="15.75" customHeight="1">
      <c r="A411" s="87"/>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row>
    <row r="412" spans="1:26" ht="15.75" customHeight="1">
      <c r="A412" s="87"/>
      <c r="B412" s="87"/>
      <c r="C412" s="87"/>
      <c r="D412" s="87"/>
      <c r="E412" s="87"/>
      <c r="F412" s="87"/>
      <c r="G412" s="87"/>
      <c r="H412" s="87"/>
      <c r="I412" s="87"/>
      <c r="J412" s="87"/>
      <c r="K412" s="87"/>
      <c r="L412" s="87"/>
      <c r="M412" s="87"/>
      <c r="N412" s="87"/>
      <c r="O412" s="87"/>
      <c r="P412" s="87"/>
      <c r="Q412" s="87"/>
      <c r="R412" s="87"/>
      <c r="S412" s="87"/>
      <c r="T412" s="87"/>
      <c r="U412" s="87"/>
      <c r="V412" s="87"/>
      <c r="W412" s="87"/>
      <c r="X412" s="87"/>
      <c r="Y412" s="87"/>
      <c r="Z412" s="87"/>
    </row>
    <row r="413" spans="1:26" ht="15.75" customHeight="1">
      <c r="A413" s="87"/>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row>
    <row r="414" spans="1:26" ht="15.75" customHeight="1">
      <c r="A414" s="87"/>
      <c r="B414" s="87"/>
      <c r="C414" s="87"/>
      <c r="D414" s="87"/>
      <c r="E414" s="87"/>
      <c r="F414" s="87"/>
      <c r="G414" s="87"/>
      <c r="H414" s="87"/>
      <c r="I414" s="87"/>
      <c r="J414" s="87"/>
      <c r="K414" s="87"/>
      <c r="L414" s="87"/>
      <c r="M414" s="87"/>
      <c r="N414" s="87"/>
      <c r="O414" s="87"/>
      <c r="P414" s="87"/>
      <c r="Q414" s="87"/>
      <c r="R414" s="87"/>
      <c r="S414" s="87"/>
      <c r="T414" s="87"/>
      <c r="U414" s="87"/>
      <c r="V414" s="87"/>
      <c r="W414" s="87"/>
      <c r="X414" s="87"/>
      <c r="Y414" s="87"/>
      <c r="Z414" s="87"/>
    </row>
    <row r="415" spans="1:26" ht="15.75" customHeight="1">
      <c r="A415" s="87"/>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row>
    <row r="416" spans="1:26" ht="15.75" customHeight="1">
      <c r="A416" s="87"/>
      <c r="B416" s="87"/>
      <c r="C416" s="87"/>
      <c r="D416" s="87"/>
      <c r="E416" s="87"/>
      <c r="F416" s="87"/>
      <c r="G416" s="87"/>
      <c r="H416" s="87"/>
      <c r="I416" s="87"/>
      <c r="J416" s="87"/>
      <c r="K416" s="87"/>
      <c r="L416" s="87"/>
      <c r="M416" s="87"/>
      <c r="N416" s="87"/>
      <c r="O416" s="87"/>
      <c r="P416" s="87"/>
      <c r="Q416" s="87"/>
      <c r="R416" s="87"/>
      <c r="S416" s="87"/>
      <c r="T416" s="87"/>
      <c r="U416" s="87"/>
      <c r="V416" s="87"/>
      <c r="W416" s="87"/>
      <c r="X416" s="87"/>
      <c r="Y416" s="87"/>
      <c r="Z416" s="87"/>
    </row>
    <row r="417" spans="1:26" ht="15.75" customHeight="1">
      <c r="A417" s="87"/>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row>
    <row r="418" spans="1:26" ht="15.75" customHeight="1">
      <c r="A418" s="87"/>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row>
    <row r="419" spans="1:26" ht="15.75" customHeight="1">
      <c r="A419" s="87"/>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row>
    <row r="420" spans="1:26" ht="15.75" customHeight="1">
      <c r="A420" s="87"/>
      <c r="B420" s="87"/>
      <c r="C420" s="87"/>
      <c r="D420" s="87"/>
      <c r="E420" s="87"/>
      <c r="F420" s="87"/>
      <c r="G420" s="87"/>
      <c r="H420" s="87"/>
      <c r="I420" s="87"/>
      <c r="J420" s="87"/>
      <c r="K420" s="87"/>
      <c r="L420" s="87"/>
      <c r="M420" s="87"/>
      <c r="N420" s="87"/>
      <c r="O420" s="87"/>
      <c r="P420" s="87"/>
      <c r="Q420" s="87"/>
      <c r="R420" s="87"/>
      <c r="S420" s="87"/>
      <c r="T420" s="87"/>
      <c r="U420" s="87"/>
      <c r="V420" s="87"/>
      <c r="W420" s="87"/>
      <c r="X420" s="87"/>
      <c r="Y420" s="87"/>
      <c r="Z420" s="87"/>
    </row>
    <row r="421" spans="1:26" ht="15.75" customHeight="1">
      <c r="A421" s="87"/>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row>
    <row r="422" spans="1:26" ht="15.75" customHeight="1">
      <c r="A422" s="87"/>
      <c r="B422" s="87"/>
      <c r="C422" s="87"/>
      <c r="D422" s="87"/>
      <c r="E422" s="87"/>
      <c r="F422" s="87"/>
      <c r="G422" s="87"/>
      <c r="H422" s="87"/>
      <c r="I422" s="87"/>
      <c r="J422" s="87"/>
      <c r="K422" s="87"/>
      <c r="L422" s="87"/>
      <c r="M422" s="87"/>
      <c r="N422" s="87"/>
      <c r="O422" s="87"/>
      <c r="P422" s="87"/>
      <c r="Q422" s="87"/>
      <c r="R422" s="87"/>
      <c r="S422" s="87"/>
      <c r="T422" s="87"/>
      <c r="U422" s="87"/>
      <c r="V422" s="87"/>
      <c r="W422" s="87"/>
      <c r="X422" s="87"/>
      <c r="Y422" s="87"/>
      <c r="Z422" s="87"/>
    </row>
    <row r="423" spans="1:26" ht="15.75" customHeight="1">
      <c r="A423" s="87"/>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row>
    <row r="424" spans="1:26" ht="15.75" customHeight="1">
      <c r="A424" s="87"/>
      <c r="B424" s="87"/>
      <c r="C424" s="87"/>
      <c r="D424" s="87"/>
      <c r="E424" s="87"/>
      <c r="F424" s="87"/>
      <c r="G424" s="87"/>
      <c r="H424" s="87"/>
      <c r="I424" s="87"/>
      <c r="J424" s="87"/>
      <c r="K424" s="87"/>
      <c r="L424" s="87"/>
      <c r="M424" s="87"/>
      <c r="N424" s="87"/>
      <c r="O424" s="87"/>
      <c r="P424" s="87"/>
      <c r="Q424" s="87"/>
      <c r="R424" s="87"/>
      <c r="S424" s="87"/>
      <c r="T424" s="87"/>
      <c r="U424" s="87"/>
      <c r="V424" s="87"/>
      <c r="W424" s="87"/>
      <c r="X424" s="87"/>
      <c r="Y424" s="87"/>
      <c r="Z424" s="87"/>
    </row>
    <row r="425" spans="1:26" ht="15.75" customHeight="1">
      <c r="A425" s="87"/>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row>
    <row r="426" spans="1:26" ht="15.75" customHeight="1">
      <c r="A426" s="87"/>
      <c r="B426" s="87"/>
      <c r="C426" s="87"/>
      <c r="D426" s="87"/>
      <c r="E426" s="87"/>
      <c r="F426" s="87"/>
      <c r="G426" s="87"/>
      <c r="H426" s="87"/>
      <c r="I426" s="87"/>
      <c r="J426" s="87"/>
      <c r="K426" s="87"/>
      <c r="L426" s="87"/>
      <c r="M426" s="87"/>
      <c r="N426" s="87"/>
      <c r="O426" s="87"/>
      <c r="P426" s="87"/>
      <c r="Q426" s="87"/>
      <c r="R426" s="87"/>
      <c r="S426" s="87"/>
      <c r="T426" s="87"/>
      <c r="U426" s="87"/>
      <c r="V426" s="87"/>
      <c r="W426" s="87"/>
      <c r="X426" s="87"/>
      <c r="Y426" s="87"/>
      <c r="Z426" s="87"/>
    </row>
    <row r="427" spans="1:26" ht="15.75" customHeight="1">
      <c r="A427" s="87"/>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row>
    <row r="428" spans="1:26" ht="15.75" customHeight="1">
      <c r="A428" s="87"/>
      <c r="B428" s="87"/>
      <c r="C428" s="87"/>
      <c r="D428" s="87"/>
      <c r="E428" s="87"/>
      <c r="F428" s="87"/>
      <c r="G428" s="87"/>
      <c r="H428" s="87"/>
      <c r="I428" s="87"/>
      <c r="J428" s="87"/>
      <c r="K428" s="87"/>
      <c r="L428" s="87"/>
      <c r="M428" s="87"/>
      <c r="N428" s="87"/>
      <c r="O428" s="87"/>
      <c r="P428" s="87"/>
      <c r="Q428" s="87"/>
      <c r="R428" s="87"/>
      <c r="S428" s="87"/>
      <c r="T428" s="87"/>
      <c r="U428" s="87"/>
      <c r="V428" s="87"/>
      <c r="W428" s="87"/>
      <c r="X428" s="87"/>
      <c r="Y428" s="87"/>
      <c r="Z428" s="87"/>
    </row>
    <row r="429" spans="1:26" ht="15.75" customHeight="1">
      <c r="A429" s="87"/>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row>
    <row r="430" spans="1:26" ht="15.75" customHeight="1">
      <c r="A430" s="87"/>
      <c r="B430" s="87"/>
      <c r="C430" s="87"/>
      <c r="D430" s="87"/>
      <c r="E430" s="87"/>
      <c r="F430" s="87"/>
      <c r="G430" s="87"/>
      <c r="H430" s="87"/>
      <c r="I430" s="87"/>
      <c r="J430" s="87"/>
      <c r="K430" s="87"/>
      <c r="L430" s="87"/>
      <c r="M430" s="87"/>
      <c r="N430" s="87"/>
      <c r="O430" s="87"/>
      <c r="P430" s="87"/>
      <c r="Q430" s="87"/>
      <c r="R430" s="87"/>
      <c r="S430" s="87"/>
      <c r="T430" s="87"/>
      <c r="U430" s="87"/>
      <c r="V430" s="87"/>
      <c r="W430" s="87"/>
      <c r="X430" s="87"/>
      <c r="Y430" s="87"/>
      <c r="Z430" s="87"/>
    </row>
    <row r="431" spans="1:26" ht="15.75" customHeight="1">
      <c r="A431" s="87"/>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row>
    <row r="432" spans="1:26" ht="15.75" customHeight="1">
      <c r="A432" s="87"/>
      <c r="B432" s="87"/>
      <c r="C432" s="87"/>
      <c r="D432" s="87"/>
      <c r="E432" s="87"/>
      <c r="F432" s="87"/>
      <c r="G432" s="87"/>
      <c r="H432" s="87"/>
      <c r="I432" s="87"/>
      <c r="J432" s="87"/>
      <c r="K432" s="87"/>
      <c r="L432" s="87"/>
      <c r="M432" s="87"/>
      <c r="N432" s="87"/>
      <c r="O432" s="87"/>
      <c r="P432" s="87"/>
      <c r="Q432" s="87"/>
      <c r="R432" s="87"/>
      <c r="S432" s="87"/>
      <c r="T432" s="87"/>
      <c r="U432" s="87"/>
      <c r="V432" s="87"/>
      <c r="W432" s="87"/>
      <c r="X432" s="87"/>
      <c r="Y432" s="87"/>
      <c r="Z432" s="87"/>
    </row>
    <row r="433" spans="1:26" ht="15.75" customHeight="1">
      <c r="A433" s="87"/>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row>
    <row r="434" spans="1:26" ht="15.75" customHeight="1">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row>
    <row r="435" spans="1:26" ht="15.75" customHeight="1">
      <c r="A435" s="87"/>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row>
    <row r="436" spans="1:26" ht="15.75" customHeight="1">
      <c r="A436" s="87"/>
      <c r="B436" s="87"/>
      <c r="C436" s="87"/>
      <c r="D436" s="87"/>
      <c r="E436" s="87"/>
      <c r="F436" s="87"/>
      <c r="G436" s="87"/>
      <c r="H436" s="87"/>
      <c r="I436" s="87"/>
      <c r="J436" s="87"/>
      <c r="K436" s="87"/>
      <c r="L436" s="87"/>
      <c r="M436" s="87"/>
      <c r="N436" s="87"/>
      <c r="O436" s="87"/>
      <c r="P436" s="87"/>
      <c r="Q436" s="87"/>
      <c r="R436" s="87"/>
      <c r="S436" s="87"/>
      <c r="T436" s="87"/>
      <c r="U436" s="87"/>
      <c r="V436" s="87"/>
      <c r="W436" s="87"/>
      <c r="X436" s="87"/>
      <c r="Y436" s="87"/>
      <c r="Z436" s="87"/>
    </row>
    <row r="437" spans="1:26" ht="15.75" customHeight="1">
      <c r="A437" s="87"/>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row>
    <row r="438" spans="1:26" ht="15.75" customHeight="1">
      <c r="A438" s="87"/>
      <c r="B438" s="87"/>
      <c r="C438" s="87"/>
      <c r="D438" s="87"/>
      <c r="E438" s="87"/>
      <c r="F438" s="87"/>
      <c r="G438" s="87"/>
      <c r="H438" s="87"/>
      <c r="I438" s="87"/>
      <c r="J438" s="87"/>
      <c r="K438" s="87"/>
      <c r="L438" s="87"/>
      <c r="M438" s="87"/>
      <c r="N438" s="87"/>
      <c r="O438" s="87"/>
      <c r="P438" s="87"/>
      <c r="Q438" s="87"/>
      <c r="R438" s="87"/>
      <c r="S438" s="87"/>
      <c r="T438" s="87"/>
      <c r="U438" s="87"/>
      <c r="V438" s="87"/>
      <c r="W438" s="87"/>
      <c r="X438" s="87"/>
      <c r="Y438" s="87"/>
      <c r="Z438" s="87"/>
    </row>
    <row r="439" spans="1:26" ht="15.75" customHeight="1">
      <c r="A439" s="87"/>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row>
    <row r="440" spans="1:26" ht="15.75" customHeight="1">
      <c r="A440" s="87"/>
      <c r="B440" s="87"/>
      <c r="C440" s="87"/>
      <c r="D440" s="87"/>
      <c r="E440" s="87"/>
      <c r="F440" s="87"/>
      <c r="G440" s="87"/>
      <c r="H440" s="87"/>
      <c r="I440" s="87"/>
      <c r="J440" s="87"/>
      <c r="K440" s="87"/>
      <c r="L440" s="87"/>
      <c r="M440" s="87"/>
      <c r="N440" s="87"/>
      <c r="O440" s="87"/>
      <c r="P440" s="87"/>
      <c r="Q440" s="87"/>
      <c r="R440" s="87"/>
      <c r="S440" s="87"/>
      <c r="T440" s="87"/>
      <c r="U440" s="87"/>
      <c r="V440" s="87"/>
      <c r="W440" s="87"/>
      <c r="X440" s="87"/>
      <c r="Y440" s="87"/>
      <c r="Z440" s="87"/>
    </row>
    <row r="441" spans="1:26" ht="15.75" customHeight="1">
      <c r="A441" s="87"/>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row>
    <row r="442" spans="1:26" ht="15.75" customHeight="1">
      <c r="A442" s="87"/>
      <c r="B442" s="87"/>
      <c r="C442" s="87"/>
      <c r="D442" s="87"/>
      <c r="E442" s="87"/>
      <c r="F442" s="87"/>
      <c r="G442" s="87"/>
      <c r="H442" s="87"/>
      <c r="I442" s="87"/>
      <c r="J442" s="87"/>
      <c r="K442" s="87"/>
      <c r="L442" s="87"/>
      <c r="M442" s="87"/>
      <c r="N442" s="87"/>
      <c r="O442" s="87"/>
      <c r="P442" s="87"/>
      <c r="Q442" s="87"/>
      <c r="R442" s="87"/>
      <c r="S442" s="87"/>
      <c r="T442" s="87"/>
      <c r="U442" s="87"/>
      <c r="V442" s="87"/>
      <c r="W442" s="87"/>
      <c r="X442" s="87"/>
      <c r="Y442" s="87"/>
      <c r="Z442" s="87"/>
    </row>
    <row r="443" spans="1:26" ht="15.75" customHeight="1">
      <c r="A443" s="87"/>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row>
    <row r="444" spans="1:26" ht="15.75" customHeight="1">
      <c r="A444" s="87"/>
      <c r="B444" s="87"/>
      <c r="C444" s="87"/>
      <c r="D444" s="87"/>
      <c r="E444" s="87"/>
      <c r="F444" s="87"/>
      <c r="G444" s="87"/>
      <c r="H444" s="87"/>
      <c r="I444" s="87"/>
      <c r="J444" s="87"/>
      <c r="K444" s="87"/>
      <c r="L444" s="87"/>
      <c r="M444" s="87"/>
      <c r="N444" s="87"/>
      <c r="O444" s="87"/>
      <c r="P444" s="87"/>
      <c r="Q444" s="87"/>
      <c r="R444" s="87"/>
      <c r="S444" s="87"/>
      <c r="T444" s="87"/>
      <c r="U444" s="87"/>
      <c r="V444" s="87"/>
      <c r="W444" s="87"/>
      <c r="X444" s="87"/>
      <c r="Y444" s="87"/>
      <c r="Z444" s="87"/>
    </row>
    <row r="445" spans="1:26" ht="15.75" customHeight="1">
      <c r="A445" s="87"/>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row>
    <row r="446" spans="1:26" ht="15.75" customHeight="1">
      <c r="A446" s="87"/>
      <c r="B446" s="87"/>
      <c r="C446" s="87"/>
      <c r="D446" s="87"/>
      <c r="E446" s="87"/>
      <c r="F446" s="87"/>
      <c r="G446" s="87"/>
      <c r="H446" s="87"/>
      <c r="I446" s="87"/>
      <c r="J446" s="87"/>
      <c r="K446" s="87"/>
      <c r="L446" s="87"/>
      <c r="M446" s="87"/>
      <c r="N446" s="87"/>
      <c r="O446" s="87"/>
      <c r="P446" s="87"/>
      <c r="Q446" s="87"/>
      <c r="R446" s="87"/>
      <c r="S446" s="87"/>
      <c r="T446" s="87"/>
      <c r="U446" s="87"/>
      <c r="V446" s="87"/>
      <c r="W446" s="87"/>
      <c r="X446" s="87"/>
      <c r="Y446" s="87"/>
      <c r="Z446" s="87"/>
    </row>
    <row r="447" spans="1:26" ht="15.75" customHeight="1">
      <c r="A447" s="87"/>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row>
    <row r="448" spans="1:26" ht="15.75" customHeight="1">
      <c r="A448" s="87"/>
      <c r="B448" s="87"/>
      <c r="C448" s="87"/>
      <c r="D448" s="87"/>
      <c r="E448" s="87"/>
      <c r="F448" s="87"/>
      <c r="G448" s="87"/>
      <c r="H448" s="87"/>
      <c r="I448" s="87"/>
      <c r="J448" s="87"/>
      <c r="K448" s="87"/>
      <c r="L448" s="87"/>
      <c r="M448" s="87"/>
      <c r="N448" s="87"/>
      <c r="O448" s="87"/>
      <c r="P448" s="87"/>
      <c r="Q448" s="87"/>
      <c r="R448" s="87"/>
      <c r="S448" s="87"/>
      <c r="T448" s="87"/>
      <c r="U448" s="87"/>
      <c r="V448" s="87"/>
      <c r="W448" s="87"/>
      <c r="X448" s="87"/>
      <c r="Y448" s="87"/>
      <c r="Z448" s="87"/>
    </row>
    <row r="449" spans="1:26" ht="15.75" customHeight="1">
      <c r="A449" s="87"/>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row>
    <row r="450" spans="1:26" ht="15.75" customHeight="1">
      <c r="A450" s="87"/>
      <c r="B450" s="87"/>
      <c r="C450" s="87"/>
      <c r="D450" s="87"/>
      <c r="E450" s="87"/>
      <c r="F450" s="87"/>
      <c r="G450" s="87"/>
      <c r="H450" s="87"/>
      <c r="I450" s="87"/>
      <c r="J450" s="87"/>
      <c r="K450" s="87"/>
      <c r="L450" s="87"/>
      <c r="M450" s="87"/>
      <c r="N450" s="87"/>
      <c r="O450" s="87"/>
      <c r="P450" s="87"/>
      <c r="Q450" s="87"/>
      <c r="R450" s="87"/>
      <c r="S450" s="87"/>
      <c r="T450" s="87"/>
      <c r="U450" s="87"/>
      <c r="V450" s="87"/>
      <c r="W450" s="87"/>
      <c r="X450" s="87"/>
      <c r="Y450" s="87"/>
      <c r="Z450" s="87"/>
    </row>
    <row r="451" spans="1:26" ht="15.75" customHeight="1">
      <c r="A451" s="87"/>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row>
    <row r="452" spans="1:26" ht="15.75" customHeight="1">
      <c r="A452" s="87"/>
      <c r="B452" s="87"/>
      <c r="C452" s="87"/>
      <c r="D452" s="87"/>
      <c r="E452" s="87"/>
      <c r="F452" s="87"/>
      <c r="G452" s="87"/>
      <c r="H452" s="87"/>
      <c r="I452" s="87"/>
      <c r="J452" s="87"/>
      <c r="K452" s="87"/>
      <c r="L452" s="87"/>
      <c r="M452" s="87"/>
      <c r="N452" s="87"/>
      <c r="O452" s="87"/>
      <c r="P452" s="87"/>
      <c r="Q452" s="87"/>
      <c r="R452" s="87"/>
      <c r="S452" s="87"/>
      <c r="T452" s="87"/>
      <c r="U452" s="87"/>
      <c r="V452" s="87"/>
      <c r="W452" s="87"/>
      <c r="X452" s="87"/>
      <c r="Y452" s="87"/>
      <c r="Z452" s="87"/>
    </row>
    <row r="453" spans="1:26" ht="15.75" customHeight="1">
      <c r="A453" s="87"/>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row>
    <row r="454" spans="1:26" ht="15.75" customHeight="1">
      <c r="A454" s="87"/>
      <c r="B454" s="87"/>
      <c r="C454" s="87"/>
      <c r="D454" s="87"/>
      <c r="E454" s="87"/>
      <c r="F454" s="87"/>
      <c r="G454" s="87"/>
      <c r="H454" s="87"/>
      <c r="I454" s="87"/>
      <c r="J454" s="87"/>
      <c r="K454" s="87"/>
      <c r="L454" s="87"/>
      <c r="M454" s="87"/>
      <c r="N454" s="87"/>
      <c r="O454" s="87"/>
      <c r="P454" s="87"/>
      <c r="Q454" s="87"/>
      <c r="R454" s="87"/>
      <c r="S454" s="87"/>
      <c r="T454" s="87"/>
      <c r="U454" s="87"/>
      <c r="V454" s="87"/>
      <c r="W454" s="87"/>
      <c r="X454" s="87"/>
      <c r="Y454" s="87"/>
      <c r="Z454" s="87"/>
    </row>
    <row r="455" spans="1:26" ht="15.75" customHeight="1">
      <c r="A455" s="87"/>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row>
    <row r="456" spans="1:26" ht="15.75" customHeight="1">
      <c r="A456" s="87"/>
      <c r="B456" s="87"/>
      <c r="C456" s="87"/>
      <c r="D456" s="87"/>
      <c r="E456" s="87"/>
      <c r="F456" s="87"/>
      <c r="G456" s="87"/>
      <c r="H456" s="87"/>
      <c r="I456" s="87"/>
      <c r="J456" s="87"/>
      <c r="K456" s="87"/>
      <c r="L456" s="87"/>
      <c r="M456" s="87"/>
      <c r="N456" s="87"/>
      <c r="O456" s="87"/>
      <c r="P456" s="87"/>
      <c r="Q456" s="87"/>
      <c r="R456" s="87"/>
      <c r="S456" s="87"/>
      <c r="T456" s="87"/>
      <c r="U456" s="87"/>
      <c r="V456" s="87"/>
      <c r="W456" s="87"/>
      <c r="X456" s="87"/>
      <c r="Y456" s="87"/>
      <c r="Z456" s="87"/>
    </row>
    <row r="457" spans="1:26" ht="15.75" customHeight="1">
      <c r="A457" s="87"/>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row>
    <row r="458" spans="1:26" ht="15.75" customHeight="1">
      <c r="A458" s="87"/>
      <c r="B458" s="87"/>
      <c r="C458" s="87"/>
      <c r="D458" s="87"/>
      <c r="E458" s="87"/>
      <c r="F458" s="87"/>
      <c r="G458" s="87"/>
      <c r="H458" s="87"/>
      <c r="I458" s="87"/>
      <c r="J458" s="87"/>
      <c r="K458" s="87"/>
      <c r="L458" s="87"/>
      <c r="M458" s="87"/>
      <c r="N458" s="87"/>
      <c r="O458" s="87"/>
      <c r="P458" s="87"/>
      <c r="Q458" s="87"/>
      <c r="R458" s="87"/>
      <c r="S458" s="87"/>
      <c r="T458" s="87"/>
      <c r="U458" s="87"/>
      <c r="V458" s="87"/>
      <c r="W458" s="87"/>
      <c r="X458" s="87"/>
      <c r="Y458" s="87"/>
      <c r="Z458" s="87"/>
    </row>
    <row r="459" spans="1:26" ht="15.75" customHeight="1">
      <c r="A459" s="87"/>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row>
    <row r="460" spans="1:26" ht="15.75" customHeight="1">
      <c r="A460" s="87"/>
      <c r="B460" s="87"/>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row>
    <row r="461" spans="1:26" ht="15.75" customHeight="1">
      <c r="A461" s="87"/>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row>
    <row r="462" spans="1:26" ht="15.75" customHeight="1">
      <c r="A462" s="87"/>
      <c r="B462" s="87"/>
      <c r="C462" s="87"/>
      <c r="D462" s="87"/>
      <c r="E462" s="87"/>
      <c r="F462" s="87"/>
      <c r="G462" s="87"/>
      <c r="H462" s="87"/>
      <c r="I462" s="87"/>
      <c r="J462" s="87"/>
      <c r="K462" s="87"/>
      <c r="L462" s="87"/>
      <c r="M462" s="87"/>
      <c r="N462" s="87"/>
      <c r="O462" s="87"/>
      <c r="P462" s="87"/>
      <c r="Q462" s="87"/>
      <c r="R462" s="87"/>
      <c r="S462" s="87"/>
      <c r="T462" s="87"/>
      <c r="U462" s="87"/>
      <c r="V462" s="87"/>
      <c r="W462" s="87"/>
      <c r="X462" s="87"/>
      <c r="Y462" s="87"/>
      <c r="Z462" s="87"/>
    </row>
    <row r="463" spans="1:26" ht="15.75" customHeight="1">
      <c r="A463" s="87"/>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row>
    <row r="464" spans="1:26" ht="15.75" customHeight="1">
      <c r="A464" s="87"/>
      <c r="B464" s="87"/>
      <c r="C464" s="87"/>
      <c r="D464" s="87"/>
      <c r="E464" s="87"/>
      <c r="F464" s="87"/>
      <c r="G464" s="87"/>
      <c r="H464" s="87"/>
      <c r="I464" s="87"/>
      <c r="J464" s="87"/>
      <c r="K464" s="87"/>
      <c r="L464" s="87"/>
      <c r="M464" s="87"/>
      <c r="N464" s="87"/>
      <c r="O464" s="87"/>
      <c r="P464" s="87"/>
      <c r="Q464" s="87"/>
      <c r="R464" s="87"/>
      <c r="S464" s="87"/>
      <c r="T464" s="87"/>
      <c r="U464" s="87"/>
      <c r="V464" s="87"/>
      <c r="W464" s="87"/>
      <c r="X464" s="87"/>
      <c r="Y464" s="87"/>
      <c r="Z464" s="87"/>
    </row>
    <row r="465" spans="1:26" ht="15.75" customHeight="1">
      <c r="A465" s="87"/>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row>
    <row r="466" spans="1:26" ht="15.75" customHeight="1">
      <c r="A466" s="87"/>
      <c r="B466" s="87"/>
      <c r="C466" s="87"/>
      <c r="D466" s="87"/>
      <c r="E466" s="87"/>
      <c r="F466" s="87"/>
      <c r="G466" s="87"/>
      <c r="H466" s="87"/>
      <c r="I466" s="87"/>
      <c r="J466" s="87"/>
      <c r="K466" s="87"/>
      <c r="L466" s="87"/>
      <c r="M466" s="87"/>
      <c r="N466" s="87"/>
      <c r="O466" s="87"/>
      <c r="P466" s="87"/>
      <c r="Q466" s="87"/>
      <c r="R466" s="87"/>
      <c r="S466" s="87"/>
      <c r="T466" s="87"/>
      <c r="U466" s="87"/>
      <c r="V466" s="87"/>
      <c r="W466" s="87"/>
      <c r="X466" s="87"/>
      <c r="Y466" s="87"/>
      <c r="Z466" s="87"/>
    </row>
    <row r="467" spans="1:26" ht="15.75" customHeight="1">
      <c r="A467" s="87"/>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row>
    <row r="468" spans="1:26" ht="15.75" customHeight="1">
      <c r="A468" s="87"/>
      <c r="B468" s="87"/>
      <c r="C468" s="87"/>
      <c r="D468" s="87"/>
      <c r="E468" s="87"/>
      <c r="F468" s="87"/>
      <c r="G468" s="87"/>
      <c r="H468" s="87"/>
      <c r="I468" s="87"/>
      <c r="J468" s="87"/>
      <c r="K468" s="87"/>
      <c r="L468" s="87"/>
      <c r="M468" s="87"/>
      <c r="N468" s="87"/>
      <c r="O468" s="87"/>
      <c r="P468" s="87"/>
      <c r="Q468" s="87"/>
      <c r="R468" s="87"/>
      <c r="S468" s="87"/>
      <c r="T468" s="87"/>
      <c r="U468" s="87"/>
      <c r="V468" s="87"/>
      <c r="W468" s="87"/>
      <c r="X468" s="87"/>
      <c r="Y468" s="87"/>
      <c r="Z468" s="87"/>
    </row>
    <row r="469" spans="1:26" ht="15.75" customHeight="1">
      <c r="A469" s="87"/>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row>
    <row r="470" spans="1:26" ht="15.75" customHeight="1">
      <c r="A470" s="87"/>
      <c r="B470" s="87"/>
      <c r="C470" s="87"/>
      <c r="D470" s="87"/>
      <c r="E470" s="87"/>
      <c r="F470" s="87"/>
      <c r="G470" s="87"/>
      <c r="H470" s="87"/>
      <c r="I470" s="87"/>
      <c r="J470" s="87"/>
      <c r="K470" s="87"/>
      <c r="L470" s="87"/>
      <c r="M470" s="87"/>
      <c r="N470" s="87"/>
      <c r="O470" s="87"/>
      <c r="P470" s="87"/>
      <c r="Q470" s="87"/>
      <c r="R470" s="87"/>
      <c r="S470" s="87"/>
      <c r="T470" s="87"/>
      <c r="U470" s="87"/>
      <c r="V470" s="87"/>
      <c r="W470" s="87"/>
      <c r="X470" s="87"/>
      <c r="Y470" s="87"/>
      <c r="Z470" s="87"/>
    </row>
    <row r="471" spans="1:26" ht="15.75" customHeight="1">
      <c r="A471" s="87"/>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row>
    <row r="472" spans="1:26" ht="15.75" customHeight="1">
      <c r="A472" s="87"/>
      <c r="B472" s="87"/>
      <c r="C472" s="87"/>
      <c r="D472" s="87"/>
      <c r="E472" s="87"/>
      <c r="F472" s="87"/>
      <c r="G472" s="87"/>
      <c r="H472" s="87"/>
      <c r="I472" s="87"/>
      <c r="J472" s="87"/>
      <c r="K472" s="87"/>
      <c r="L472" s="87"/>
      <c r="M472" s="87"/>
      <c r="N472" s="87"/>
      <c r="O472" s="87"/>
      <c r="P472" s="87"/>
      <c r="Q472" s="87"/>
      <c r="R472" s="87"/>
      <c r="S472" s="87"/>
      <c r="T472" s="87"/>
      <c r="U472" s="87"/>
      <c r="V472" s="87"/>
      <c r="W472" s="87"/>
      <c r="X472" s="87"/>
      <c r="Y472" s="87"/>
      <c r="Z472" s="87"/>
    </row>
    <row r="473" spans="1:26" ht="15.75" customHeight="1">
      <c r="A473" s="87"/>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row>
    <row r="474" spans="1:26" ht="15.75" customHeight="1">
      <c r="A474" s="87"/>
      <c r="B474" s="87"/>
      <c r="C474" s="87"/>
      <c r="D474" s="87"/>
      <c r="E474" s="87"/>
      <c r="F474" s="87"/>
      <c r="G474" s="87"/>
      <c r="H474" s="87"/>
      <c r="I474" s="87"/>
      <c r="J474" s="87"/>
      <c r="K474" s="87"/>
      <c r="L474" s="87"/>
      <c r="M474" s="87"/>
      <c r="N474" s="87"/>
      <c r="O474" s="87"/>
      <c r="P474" s="87"/>
      <c r="Q474" s="87"/>
      <c r="R474" s="87"/>
      <c r="S474" s="87"/>
      <c r="T474" s="87"/>
      <c r="U474" s="87"/>
      <c r="V474" s="87"/>
      <c r="W474" s="87"/>
      <c r="X474" s="87"/>
      <c r="Y474" s="87"/>
      <c r="Z474" s="87"/>
    </row>
    <row r="475" spans="1:26" ht="15.75" customHeight="1">
      <c r="A475" s="87"/>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row>
    <row r="476" spans="1:26" ht="15.75" customHeight="1">
      <c r="A476" s="87"/>
      <c r="B476" s="87"/>
      <c r="C476" s="87"/>
      <c r="D476" s="87"/>
      <c r="E476" s="87"/>
      <c r="F476" s="87"/>
      <c r="G476" s="87"/>
      <c r="H476" s="87"/>
      <c r="I476" s="87"/>
      <c r="J476" s="87"/>
      <c r="K476" s="87"/>
      <c r="L476" s="87"/>
      <c r="M476" s="87"/>
      <c r="N476" s="87"/>
      <c r="O476" s="87"/>
      <c r="P476" s="87"/>
      <c r="Q476" s="87"/>
      <c r="R476" s="87"/>
      <c r="S476" s="87"/>
      <c r="T476" s="87"/>
      <c r="U476" s="87"/>
      <c r="V476" s="87"/>
      <c r="W476" s="87"/>
      <c r="X476" s="87"/>
      <c r="Y476" s="87"/>
      <c r="Z476" s="87"/>
    </row>
    <row r="477" spans="1:26" ht="15.75" customHeight="1">
      <c r="A477" s="87"/>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row>
    <row r="478" spans="1:26" ht="15.75" customHeight="1">
      <c r="A478" s="87"/>
      <c r="B478" s="87"/>
      <c r="C478" s="87"/>
      <c r="D478" s="87"/>
      <c r="E478" s="87"/>
      <c r="F478" s="87"/>
      <c r="G478" s="87"/>
      <c r="H478" s="87"/>
      <c r="I478" s="87"/>
      <c r="J478" s="87"/>
      <c r="K478" s="87"/>
      <c r="L478" s="87"/>
      <c r="M478" s="87"/>
      <c r="N478" s="87"/>
      <c r="O478" s="87"/>
      <c r="P478" s="87"/>
      <c r="Q478" s="87"/>
      <c r="R478" s="87"/>
      <c r="S478" s="87"/>
      <c r="T478" s="87"/>
      <c r="U478" s="87"/>
      <c r="V478" s="87"/>
      <c r="W478" s="87"/>
      <c r="X478" s="87"/>
      <c r="Y478" s="87"/>
      <c r="Z478" s="87"/>
    </row>
    <row r="479" spans="1:26" ht="15.75" customHeight="1">
      <c r="A479" s="87"/>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row>
    <row r="480" spans="1:26" ht="15.75" customHeight="1">
      <c r="A480" s="87"/>
      <c r="B480" s="87"/>
      <c r="C480" s="87"/>
      <c r="D480" s="87"/>
      <c r="E480" s="87"/>
      <c r="F480" s="87"/>
      <c r="G480" s="87"/>
      <c r="H480" s="87"/>
      <c r="I480" s="87"/>
      <c r="J480" s="87"/>
      <c r="K480" s="87"/>
      <c r="L480" s="87"/>
      <c r="M480" s="87"/>
      <c r="N480" s="87"/>
      <c r="O480" s="87"/>
      <c r="P480" s="87"/>
      <c r="Q480" s="87"/>
      <c r="R480" s="87"/>
      <c r="S480" s="87"/>
      <c r="T480" s="87"/>
      <c r="U480" s="87"/>
      <c r="V480" s="87"/>
      <c r="W480" s="87"/>
      <c r="X480" s="87"/>
      <c r="Y480" s="87"/>
      <c r="Z480" s="87"/>
    </row>
    <row r="481" spans="1:26" ht="15.75" customHeight="1">
      <c r="A481" s="87"/>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row>
    <row r="482" spans="1:26" ht="15.75" customHeight="1">
      <c r="A482" s="87"/>
      <c r="B482" s="87"/>
      <c r="C482" s="87"/>
      <c r="D482" s="87"/>
      <c r="E482" s="87"/>
      <c r="F482" s="87"/>
      <c r="G482" s="87"/>
      <c r="H482" s="87"/>
      <c r="I482" s="87"/>
      <c r="J482" s="87"/>
      <c r="K482" s="87"/>
      <c r="L482" s="87"/>
      <c r="M482" s="87"/>
      <c r="N482" s="87"/>
      <c r="O482" s="87"/>
      <c r="P482" s="87"/>
      <c r="Q482" s="87"/>
      <c r="R482" s="87"/>
      <c r="S482" s="87"/>
      <c r="T482" s="87"/>
      <c r="U482" s="87"/>
      <c r="V482" s="87"/>
      <c r="W482" s="87"/>
      <c r="X482" s="87"/>
      <c r="Y482" s="87"/>
      <c r="Z482" s="87"/>
    </row>
    <row r="483" spans="1:26" ht="15.75" customHeight="1">
      <c r="A483" s="87"/>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row>
    <row r="484" spans="1:26" ht="15.75" customHeight="1">
      <c r="A484" s="87"/>
      <c r="B484" s="87"/>
      <c r="C484" s="87"/>
      <c r="D484" s="87"/>
      <c r="E484" s="87"/>
      <c r="F484" s="87"/>
      <c r="G484" s="87"/>
      <c r="H484" s="87"/>
      <c r="I484" s="87"/>
      <c r="J484" s="87"/>
      <c r="K484" s="87"/>
      <c r="L484" s="87"/>
      <c r="M484" s="87"/>
      <c r="N484" s="87"/>
      <c r="O484" s="87"/>
      <c r="P484" s="87"/>
      <c r="Q484" s="87"/>
      <c r="R484" s="87"/>
      <c r="S484" s="87"/>
      <c r="T484" s="87"/>
      <c r="U484" s="87"/>
      <c r="V484" s="87"/>
      <c r="W484" s="87"/>
      <c r="X484" s="87"/>
      <c r="Y484" s="87"/>
      <c r="Z484" s="87"/>
    </row>
    <row r="485" spans="1:26" ht="15.75" customHeight="1">
      <c r="A485" s="87"/>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row>
    <row r="486" spans="1:26" ht="15.75" customHeight="1">
      <c r="A486" s="87"/>
      <c r="B486" s="87"/>
      <c r="C486" s="87"/>
      <c r="D486" s="87"/>
      <c r="E486" s="87"/>
      <c r="F486" s="87"/>
      <c r="G486" s="87"/>
      <c r="H486" s="87"/>
      <c r="I486" s="87"/>
      <c r="J486" s="87"/>
      <c r="K486" s="87"/>
      <c r="L486" s="87"/>
      <c r="M486" s="87"/>
      <c r="N486" s="87"/>
      <c r="O486" s="87"/>
      <c r="P486" s="87"/>
      <c r="Q486" s="87"/>
      <c r="R486" s="87"/>
      <c r="S486" s="87"/>
      <c r="T486" s="87"/>
      <c r="U486" s="87"/>
      <c r="V486" s="87"/>
      <c r="W486" s="87"/>
      <c r="X486" s="87"/>
      <c r="Y486" s="87"/>
      <c r="Z486" s="87"/>
    </row>
    <row r="487" spans="1:26" ht="15.75" customHeight="1">
      <c r="A487" s="87"/>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row>
    <row r="488" spans="1:26" ht="15.75" customHeight="1">
      <c r="A488" s="87"/>
      <c r="B488" s="87"/>
      <c r="C488" s="87"/>
      <c r="D488" s="87"/>
      <c r="E488" s="87"/>
      <c r="F488" s="87"/>
      <c r="G488" s="87"/>
      <c r="H488" s="87"/>
      <c r="I488" s="87"/>
      <c r="J488" s="87"/>
      <c r="K488" s="87"/>
      <c r="L488" s="87"/>
      <c r="M488" s="87"/>
      <c r="N488" s="87"/>
      <c r="O488" s="87"/>
      <c r="P488" s="87"/>
      <c r="Q488" s="87"/>
      <c r="R488" s="87"/>
      <c r="S488" s="87"/>
      <c r="T488" s="87"/>
      <c r="U488" s="87"/>
      <c r="V488" s="87"/>
      <c r="W488" s="87"/>
      <c r="X488" s="87"/>
      <c r="Y488" s="87"/>
      <c r="Z488" s="87"/>
    </row>
    <row r="489" spans="1:26" ht="15.75" customHeight="1">
      <c r="A489" s="87"/>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row>
    <row r="490" spans="1:26" ht="15.75" customHeight="1">
      <c r="A490" s="87"/>
      <c r="B490" s="87"/>
      <c r="C490" s="87"/>
      <c r="D490" s="87"/>
      <c r="E490" s="87"/>
      <c r="F490" s="87"/>
      <c r="G490" s="87"/>
      <c r="H490" s="87"/>
      <c r="I490" s="87"/>
      <c r="J490" s="87"/>
      <c r="K490" s="87"/>
      <c r="L490" s="87"/>
      <c r="M490" s="87"/>
      <c r="N490" s="87"/>
      <c r="O490" s="87"/>
      <c r="P490" s="87"/>
      <c r="Q490" s="87"/>
      <c r="R490" s="87"/>
      <c r="S490" s="87"/>
      <c r="T490" s="87"/>
      <c r="U490" s="87"/>
      <c r="V490" s="87"/>
      <c r="W490" s="87"/>
      <c r="X490" s="87"/>
      <c r="Y490" s="87"/>
      <c r="Z490" s="87"/>
    </row>
    <row r="491" spans="1:26" ht="15.75" customHeight="1">
      <c r="A491" s="87"/>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row>
    <row r="492" spans="1:26" ht="15.75" customHeight="1">
      <c r="A492" s="87"/>
      <c r="B492" s="87"/>
      <c r="C492" s="87"/>
      <c r="D492" s="87"/>
      <c r="E492" s="87"/>
      <c r="F492" s="87"/>
      <c r="G492" s="87"/>
      <c r="H492" s="87"/>
      <c r="I492" s="87"/>
      <c r="J492" s="87"/>
      <c r="K492" s="87"/>
      <c r="L492" s="87"/>
      <c r="M492" s="87"/>
      <c r="N492" s="87"/>
      <c r="O492" s="87"/>
      <c r="P492" s="87"/>
      <c r="Q492" s="87"/>
      <c r="R492" s="87"/>
      <c r="S492" s="87"/>
      <c r="T492" s="87"/>
      <c r="U492" s="87"/>
      <c r="V492" s="87"/>
      <c r="W492" s="87"/>
      <c r="X492" s="87"/>
      <c r="Y492" s="87"/>
      <c r="Z492" s="87"/>
    </row>
    <row r="493" spans="1:26" ht="15.75" customHeight="1">
      <c r="A493" s="87"/>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row>
    <row r="494" spans="1:26" ht="15.75" customHeight="1">
      <c r="A494" s="87"/>
      <c r="B494" s="87"/>
      <c r="C494" s="87"/>
      <c r="D494" s="87"/>
      <c r="E494" s="87"/>
      <c r="F494" s="87"/>
      <c r="G494" s="87"/>
      <c r="H494" s="87"/>
      <c r="I494" s="87"/>
      <c r="J494" s="87"/>
      <c r="K494" s="87"/>
      <c r="L494" s="87"/>
      <c r="M494" s="87"/>
      <c r="N494" s="87"/>
      <c r="O494" s="87"/>
      <c r="P494" s="87"/>
      <c r="Q494" s="87"/>
      <c r="R494" s="87"/>
      <c r="S494" s="87"/>
      <c r="T494" s="87"/>
      <c r="U494" s="87"/>
      <c r="V494" s="87"/>
      <c r="W494" s="87"/>
      <c r="X494" s="87"/>
      <c r="Y494" s="87"/>
      <c r="Z494" s="87"/>
    </row>
    <row r="495" spans="1:26" ht="15.75" customHeight="1">
      <c r="A495" s="87"/>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row>
    <row r="496" spans="1:26" ht="15.75" customHeight="1">
      <c r="A496" s="87"/>
      <c r="B496" s="87"/>
      <c r="C496" s="87"/>
      <c r="D496" s="87"/>
      <c r="E496" s="87"/>
      <c r="F496" s="87"/>
      <c r="G496" s="87"/>
      <c r="H496" s="87"/>
      <c r="I496" s="87"/>
      <c r="J496" s="87"/>
      <c r="K496" s="87"/>
      <c r="L496" s="87"/>
      <c r="M496" s="87"/>
      <c r="N496" s="87"/>
      <c r="O496" s="87"/>
      <c r="P496" s="87"/>
      <c r="Q496" s="87"/>
      <c r="R496" s="87"/>
      <c r="S496" s="87"/>
      <c r="T496" s="87"/>
      <c r="U496" s="87"/>
      <c r="V496" s="87"/>
      <c r="W496" s="87"/>
      <c r="X496" s="87"/>
      <c r="Y496" s="87"/>
      <c r="Z496" s="87"/>
    </row>
    <row r="497" spans="1:26" ht="15.75" customHeight="1">
      <c r="A497" s="87"/>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row>
    <row r="498" spans="1:26" ht="15.75" customHeight="1">
      <c r="A498" s="87"/>
      <c r="B498" s="87"/>
      <c r="C498" s="87"/>
      <c r="D498" s="87"/>
      <c r="E498" s="87"/>
      <c r="F498" s="87"/>
      <c r="G498" s="87"/>
      <c r="H498" s="87"/>
      <c r="I498" s="87"/>
      <c r="J498" s="87"/>
      <c r="K498" s="87"/>
      <c r="L498" s="87"/>
      <c r="M498" s="87"/>
      <c r="N498" s="87"/>
      <c r="O498" s="87"/>
      <c r="P498" s="87"/>
      <c r="Q498" s="87"/>
      <c r="R498" s="87"/>
      <c r="S498" s="87"/>
      <c r="T498" s="87"/>
      <c r="U498" s="87"/>
      <c r="V498" s="87"/>
      <c r="W498" s="87"/>
      <c r="X498" s="87"/>
      <c r="Y498" s="87"/>
      <c r="Z498" s="87"/>
    </row>
    <row r="499" spans="1:26" ht="15.75" customHeight="1">
      <c r="A499" s="87"/>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row>
    <row r="500" spans="1:26" ht="15.75" customHeight="1">
      <c r="A500" s="87"/>
      <c r="B500" s="87"/>
      <c r="C500" s="87"/>
      <c r="D500" s="87"/>
      <c r="E500" s="87"/>
      <c r="F500" s="87"/>
      <c r="G500" s="87"/>
      <c r="H500" s="87"/>
      <c r="I500" s="87"/>
      <c r="J500" s="87"/>
      <c r="K500" s="87"/>
      <c r="L500" s="87"/>
      <c r="M500" s="87"/>
      <c r="N500" s="87"/>
      <c r="O500" s="87"/>
      <c r="P500" s="87"/>
      <c r="Q500" s="87"/>
      <c r="R500" s="87"/>
      <c r="S500" s="87"/>
      <c r="T500" s="87"/>
      <c r="U500" s="87"/>
      <c r="V500" s="87"/>
      <c r="W500" s="87"/>
      <c r="X500" s="87"/>
      <c r="Y500" s="87"/>
      <c r="Z500" s="87"/>
    </row>
    <row r="501" spans="1:26" ht="15.75" customHeight="1">
      <c r="A501" s="87"/>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row>
    <row r="502" spans="1:26" ht="15.75" customHeight="1">
      <c r="A502" s="87"/>
      <c r="B502" s="87"/>
      <c r="C502" s="87"/>
      <c r="D502" s="87"/>
      <c r="E502" s="87"/>
      <c r="F502" s="87"/>
      <c r="G502" s="87"/>
      <c r="H502" s="87"/>
      <c r="I502" s="87"/>
      <c r="J502" s="87"/>
      <c r="K502" s="87"/>
      <c r="L502" s="87"/>
      <c r="M502" s="87"/>
      <c r="N502" s="87"/>
      <c r="O502" s="87"/>
      <c r="P502" s="87"/>
      <c r="Q502" s="87"/>
      <c r="R502" s="87"/>
      <c r="S502" s="87"/>
      <c r="T502" s="87"/>
      <c r="U502" s="87"/>
      <c r="V502" s="87"/>
      <c r="W502" s="87"/>
      <c r="X502" s="87"/>
      <c r="Y502" s="87"/>
      <c r="Z502" s="87"/>
    </row>
    <row r="503" spans="1:26" ht="15.75" customHeight="1">
      <c r="A503" s="87"/>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row>
    <row r="504" spans="1:26" ht="15.75" customHeight="1">
      <c r="A504" s="87"/>
      <c r="B504" s="87"/>
      <c r="C504" s="87"/>
      <c r="D504" s="87"/>
      <c r="E504" s="87"/>
      <c r="F504" s="87"/>
      <c r="G504" s="87"/>
      <c r="H504" s="87"/>
      <c r="I504" s="87"/>
      <c r="J504" s="87"/>
      <c r="K504" s="87"/>
      <c r="L504" s="87"/>
      <c r="M504" s="87"/>
      <c r="N504" s="87"/>
      <c r="O504" s="87"/>
      <c r="P504" s="87"/>
      <c r="Q504" s="87"/>
      <c r="R504" s="87"/>
      <c r="S504" s="87"/>
      <c r="T504" s="87"/>
      <c r="U504" s="87"/>
      <c r="V504" s="87"/>
      <c r="W504" s="87"/>
      <c r="X504" s="87"/>
      <c r="Y504" s="87"/>
      <c r="Z504" s="87"/>
    </row>
    <row r="505" spans="1:26" ht="15.75" customHeight="1">
      <c r="A505" s="87"/>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row>
    <row r="506" spans="1:26" ht="15.75" customHeight="1">
      <c r="A506" s="87"/>
      <c r="B506" s="87"/>
      <c r="C506" s="87"/>
      <c r="D506" s="87"/>
      <c r="E506" s="87"/>
      <c r="F506" s="87"/>
      <c r="G506" s="87"/>
      <c r="H506" s="87"/>
      <c r="I506" s="87"/>
      <c r="J506" s="87"/>
      <c r="K506" s="87"/>
      <c r="L506" s="87"/>
      <c r="M506" s="87"/>
      <c r="N506" s="87"/>
      <c r="O506" s="87"/>
      <c r="P506" s="87"/>
      <c r="Q506" s="87"/>
      <c r="R506" s="87"/>
      <c r="S506" s="87"/>
      <c r="T506" s="87"/>
      <c r="U506" s="87"/>
      <c r="V506" s="87"/>
      <c r="W506" s="87"/>
      <c r="X506" s="87"/>
      <c r="Y506" s="87"/>
      <c r="Z506" s="87"/>
    </row>
    <row r="507" spans="1:26" ht="15.75" customHeight="1">
      <c r="A507" s="87"/>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row>
    <row r="508" spans="1:26" ht="15.75" customHeight="1">
      <c r="A508" s="87"/>
      <c r="B508" s="87"/>
      <c r="C508" s="87"/>
      <c r="D508" s="87"/>
      <c r="E508" s="87"/>
      <c r="F508" s="87"/>
      <c r="G508" s="87"/>
      <c r="H508" s="87"/>
      <c r="I508" s="87"/>
      <c r="J508" s="87"/>
      <c r="K508" s="87"/>
      <c r="L508" s="87"/>
      <c r="M508" s="87"/>
      <c r="N508" s="87"/>
      <c r="O508" s="87"/>
      <c r="P508" s="87"/>
      <c r="Q508" s="87"/>
      <c r="R508" s="87"/>
      <c r="S508" s="87"/>
      <c r="T508" s="87"/>
      <c r="U508" s="87"/>
      <c r="V508" s="87"/>
      <c r="W508" s="87"/>
      <c r="X508" s="87"/>
      <c r="Y508" s="87"/>
      <c r="Z508" s="87"/>
    </row>
    <row r="509" spans="1:26" ht="15.75" customHeight="1">
      <c r="A509" s="87"/>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row>
    <row r="510" spans="1:26" ht="15.75" customHeight="1">
      <c r="A510" s="87"/>
      <c r="B510" s="87"/>
      <c r="C510" s="87"/>
      <c r="D510" s="87"/>
      <c r="E510" s="87"/>
      <c r="F510" s="87"/>
      <c r="G510" s="87"/>
      <c r="H510" s="87"/>
      <c r="I510" s="87"/>
      <c r="J510" s="87"/>
      <c r="K510" s="87"/>
      <c r="L510" s="87"/>
      <c r="M510" s="87"/>
      <c r="N510" s="87"/>
      <c r="O510" s="87"/>
      <c r="P510" s="87"/>
      <c r="Q510" s="87"/>
      <c r="R510" s="87"/>
      <c r="S510" s="87"/>
      <c r="T510" s="87"/>
      <c r="U510" s="87"/>
      <c r="V510" s="87"/>
      <c r="W510" s="87"/>
      <c r="X510" s="87"/>
      <c r="Y510" s="87"/>
      <c r="Z510" s="87"/>
    </row>
    <row r="511" spans="1:26" ht="15.75" customHeight="1">
      <c r="A511" s="87"/>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row>
    <row r="512" spans="1:26" ht="15.75" customHeight="1">
      <c r="A512" s="87"/>
      <c r="B512" s="87"/>
      <c r="C512" s="87"/>
      <c r="D512" s="87"/>
      <c r="E512" s="87"/>
      <c r="F512" s="87"/>
      <c r="G512" s="87"/>
      <c r="H512" s="87"/>
      <c r="I512" s="87"/>
      <c r="J512" s="87"/>
      <c r="K512" s="87"/>
      <c r="L512" s="87"/>
      <c r="M512" s="87"/>
      <c r="N512" s="87"/>
      <c r="O512" s="87"/>
      <c r="P512" s="87"/>
      <c r="Q512" s="87"/>
      <c r="R512" s="87"/>
      <c r="S512" s="87"/>
      <c r="T512" s="87"/>
      <c r="U512" s="87"/>
      <c r="V512" s="87"/>
      <c r="W512" s="87"/>
      <c r="X512" s="87"/>
      <c r="Y512" s="87"/>
      <c r="Z512" s="87"/>
    </row>
    <row r="513" spans="1:26" ht="15.75" customHeight="1">
      <c r="A513" s="87"/>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row>
    <row r="514" spans="1:26" ht="15.75" customHeight="1">
      <c r="A514" s="87"/>
      <c r="B514" s="87"/>
      <c r="C514" s="87"/>
      <c r="D514" s="87"/>
      <c r="E514" s="87"/>
      <c r="F514" s="87"/>
      <c r="G514" s="87"/>
      <c r="H514" s="87"/>
      <c r="I514" s="87"/>
      <c r="J514" s="87"/>
      <c r="K514" s="87"/>
      <c r="L514" s="87"/>
      <c r="M514" s="87"/>
      <c r="N514" s="87"/>
      <c r="O514" s="87"/>
      <c r="P514" s="87"/>
      <c r="Q514" s="87"/>
      <c r="R514" s="87"/>
      <c r="S514" s="87"/>
      <c r="T514" s="87"/>
      <c r="U514" s="87"/>
      <c r="V514" s="87"/>
      <c r="W514" s="87"/>
      <c r="X514" s="87"/>
      <c r="Y514" s="87"/>
      <c r="Z514" s="87"/>
    </row>
    <row r="515" spans="1:26" ht="15.75" customHeight="1">
      <c r="A515" s="87"/>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row>
    <row r="516" spans="1:26" ht="15.75" customHeight="1">
      <c r="A516" s="87"/>
      <c r="B516" s="87"/>
      <c r="C516" s="87"/>
      <c r="D516" s="87"/>
      <c r="E516" s="87"/>
      <c r="F516" s="87"/>
      <c r="G516" s="87"/>
      <c r="H516" s="87"/>
      <c r="I516" s="87"/>
      <c r="J516" s="87"/>
      <c r="K516" s="87"/>
      <c r="L516" s="87"/>
      <c r="M516" s="87"/>
      <c r="N516" s="87"/>
      <c r="O516" s="87"/>
      <c r="P516" s="87"/>
      <c r="Q516" s="87"/>
      <c r="R516" s="87"/>
      <c r="S516" s="87"/>
      <c r="T516" s="87"/>
      <c r="U516" s="87"/>
      <c r="V516" s="87"/>
      <c r="W516" s="87"/>
      <c r="X516" s="87"/>
      <c r="Y516" s="87"/>
      <c r="Z516" s="87"/>
    </row>
    <row r="517" spans="1:26" ht="15.75" customHeight="1">
      <c r="A517" s="87"/>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row>
    <row r="518" spans="1:26" ht="15.75" customHeight="1">
      <c r="A518" s="87"/>
      <c r="B518" s="87"/>
      <c r="C518" s="87"/>
      <c r="D518" s="87"/>
      <c r="E518" s="87"/>
      <c r="F518" s="87"/>
      <c r="G518" s="87"/>
      <c r="H518" s="87"/>
      <c r="I518" s="87"/>
      <c r="J518" s="87"/>
      <c r="K518" s="87"/>
      <c r="L518" s="87"/>
      <c r="M518" s="87"/>
      <c r="N518" s="87"/>
      <c r="O518" s="87"/>
      <c r="P518" s="87"/>
      <c r="Q518" s="87"/>
      <c r="R518" s="87"/>
      <c r="S518" s="87"/>
      <c r="T518" s="87"/>
      <c r="U518" s="87"/>
      <c r="V518" s="87"/>
      <c r="W518" s="87"/>
      <c r="X518" s="87"/>
      <c r="Y518" s="87"/>
      <c r="Z518" s="87"/>
    </row>
    <row r="519" spans="1:26" ht="15.75" customHeight="1">
      <c r="A519" s="87"/>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row>
    <row r="520" spans="1:26" ht="15.75" customHeight="1">
      <c r="A520" s="87"/>
      <c r="B520" s="87"/>
      <c r="C520" s="87"/>
      <c r="D520" s="87"/>
      <c r="E520" s="87"/>
      <c r="F520" s="87"/>
      <c r="G520" s="87"/>
      <c r="H520" s="87"/>
      <c r="I520" s="87"/>
      <c r="J520" s="87"/>
      <c r="K520" s="87"/>
      <c r="L520" s="87"/>
      <c r="M520" s="87"/>
      <c r="N520" s="87"/>
      <c r="O520" s="87"/>
      <c r="P520" s="87"/>
      <c r="Q520" s="87"/>
      <c r="R520" s="87"/>
      <c r="S520" s="87"/>
      <c r="T520" s="87"/>
      <c r="U520" s="87"/>
      <c r="V520" s="87"/>
      <c r="W520" s="87"/>
      <c r="X520" s="87"/>
      <c r="Y520" s="87"/>
      <c r="Z520" s="87"/>
    </row>
    <row r="521" spans="1:26" ht="15.75" customHeight="1">
      <c r="A521" s="87"/>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row>
    <row r="522" spans="1:26" ht="15.75" customHeight="1">
      <c r="A522" s="87"/>
      <c r="B522" s="87"/>
      <c r="C522" s="87"/>
      <c r="D522" s="87"/>
      <c r="E522" s="87"/>
      <c r="F522" s="87"/>
      <c r="G522" s="87"/>
      <c r="H522" s="87"/>
      <c r="I522" s="87"/>
      <c r="J522" s="87"/>
      <c r="K522" s="87"/>
      <c r="L522" s="87"/>
      <c r="M522" s="87"/>
      <c r="N522" s="87"/>
      <c r="O522" s="87"/>
      <c r="P522" s="87"/>
      <c r="Q522" s="87"/>
      <c r="R522" s="87"/>
      <c r="S522" s="87"/>
      <c r="T522" s="87"/>
      <c r="U522" s="87"/>
      <c r="V522" s="87"/>
      <c r="W522" s="87"/>
      <c r="X522" s="87"/>
      <c r="Y522" s="87"/>
      <c r="Z522" s="87"/>
    </row>
    <row r="523" spans="1:26" ht="15.75" customHeight="1">
      <c r="A523" s="87"/>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row>
    <row r="524" spans="1:26" ht="15.75" customHeight="1">
      <c r="A524" s="87"/>
      <c r="B524" s="87"/>
      <c r="C524" s="87"/>
      <c r="D524" s="87"/>
      <c r="E524" s="87"/>
      <c r="F524" s="87"/>
      <c r="G524" s="87"/>
      <c r="H524" s="87"/>
      <c r="I524" s="87"/>
      <c r="J524" s="87"/>
      <c r="K524" s="87"/>
      <c r="L524" s="87"/>
      <c r="M524" s="87"/>
      <c r="N524" s="87"/>
      <c r="O524" s="87"/>
      <c r="P524" s="87"/>
      <c r="Q524" s="87"/>
      <c r="R524" s="87"/>
      <c r="S524" s="87"/>
      <c r="T524" s="87"/>
      <c r="U524" s="87"/>
      <c r="V524" s="87"/>
      <c r="W524" s="87"/>
      <c r="X524" s="87"/>
      <c r="Y524" s="87"/>
      <c r="Z524" s="87"/>
    </row>
    <row r="525" spans="1:26" ht="15.75" customHeight="1">
      <c r="A525" s="87"/>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row>
    <row r="526" spans="1:26" ht="15.75" customHeight="1">
      <c r="A526" s="87"/>
      <c r="B526" s="87"/>
      <c r="C526" s="87"/>
      <c r="D526" s="87"/>
      <c r="E526" s="87"/>
      <c r="F526" s="87"/>
      <c r="G526" s="87"/>
      <c r="H526" s="87"/>
      <c r="I526" s="87"/>
      <c r="J526" s="87"/>
      <c r="K526" s="87"/>
      <c r="L526" s="87"/>
      <c r="M526" s="87"/>
      <c r="N526" s="87"/>
      <c r="O526" s="87"/>
      <c r="P526" s="87"/>
      <c r="Q526" s="87"/>
      <c r="R526" s="87"/>
      <c r="S526" s="87"/>
      <c r="T526" s="87"/>
      <c r="U526" s="87"/>
      <c r="V526" s="87"/>
      <c r="W526" s="87"/>
      <c r="X526" s="87"/>
      <c r="Y526" s="87"/>
      <c r="Z526" s="87"/>
    </row>
    <row r="527" spans="1:26" ht="15.75" customHeight="1">
      <c r="A527" s="87"/>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row>
    <row r="528" spans="1:26" ht="15.75" customHeight="1">
      <c r="A528" s="87"/>
      <c r="B528" s="87"/>
      <c r="C528" s="87"/>
      <c r="D528" s="87"/>
      <c r="E528" s="87"/>
      <c r="F528" s="87"/>
      <c r="G528" s="87"/>
      <c r="H528" s="87"/>
      <c r="I528" s="87"/>
      <c r="J528" s="87"/>
      <c r="K528" s="87"/>
      <c r="L528" s="87"/>
      <c r="M528" s="87"/>
      <c r="N528" s="87"/>
      <c r="O528" s="87"/>
      <c r="P528" s="87"/>
      <c r="Q528" s="87"/>
      <c r="R528" s="87"/>
      <c r="S528" s="87"/>
      <c r="T528" s="87"/>
      <c r="U528" s="87"/>
      <c r="V528" s="87"/>
      <c r="W528" s="87"/>
      <c r="X528" s="87"/>
      <c r="Y528" s="87"/>
      <c r="Z528" s="87"/>
    </row>
    <row r="529" spans="1:26" ht="15.75" customHeight="1">
      <c r="A529" s="87"/>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row>
    <row r="530" spans="1:26" ht="15.75" customHeight="1">
      <c r="A530" s="87"/>
      <c r="B530" s="87"/>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row>
    <row r="531" spans="1:26" ht="15.75" customHeight="1">
      <c r="A531" s="87"/>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row>
    <row r="532" spans="1:26" ht="15.75" customHeight="1">
      <c r="A532" s="87"/>
      <c r="B532" s="87"/>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row>
    <row r="533" spans="1:26" ht="15.75" customHeight="1">
      <c r="A533" s="87"/>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row>
    <row r="534" spans="1:26" ht="15.75" customHeight="1">
      <c r="A534" s="87"/>
      <c r="B534" s="87"/>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row>
    <row r="535" spans="1:26" ht="15.75" customHeight="1">
      <c r="A535" s="87"/>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row>
    <row r="536" spans="1:26" ht="15.75" customHeight="1">
      <c r="A536" s="87"/>
      <c r="B536" s="87"/>
      <c r="C536" s="87"/>
      <c r="D536" s="87"/>
      <c r="E536" s="87"/>
      <c r="F536" s="87"/>
      <c r="G536" s="87"/>
      <c r="H536" s="87"/>
      <c r="I536" s="87"/>
      <c r="J536" s="87"/>
      <c r="K536" s="87"/>
      <c r="L536" s="87"/>
      <c r="M536" s="87"/>
      <c r="N536" s="87"/>
      <c r="O536" s="87"/>
      <c r="P536" s="87"/>
      <c r="Q536" s="87"/>
      <c r="R536" s="87"/>
      <c r="S536" s="87"/>
      <c r="T536" s="87"/>
      <c r="U536" s="87"/>
      <c r="V536" s="87"/>
      <c r="W536" s="87"/>
      <c r="X536" s="87"/>
      <c r="Y536" s="87"/>
      <c r="Z536" s="87"/>
    </row>
    <row r="537" spans="1:26" ht="15.75" customHeight="1">
      <c r="A537" s="87"/>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row>
    <row r="538" spans="1:26" ht="15.75" customHeight="1">
      <c r="A538" s="87"/>
      <c r="B538" s="87"/>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row>
    <row r="539" spans="1:26" ht="15.75" customHeight="1">
      <c r="A539" s="87"/>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row>
    <row r="540" spans="1:26" ht="15.75" customHeight="1">
      <c r="A540" s="87"/>
      <c r="B540" s="87"/>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row>
    <row r="541" spans="1:26" ht="15.75" customHeight="1">
      <c r="A541" s="87"/>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row>
    <row r="542" spans="1:26" ht="15.75" customHeight="1">
      <c r="A542" s="87"/>
      <c r="B542" s="87"/>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row>
    <row r="543" spans="1:26" ht="15.75" customHeight="1">
      <c r="A543" s="87"/>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row>
    <row r="544" spans="1:26" ht="15.75" customHeight="1">
      <c r="A544" s="87"/>
      <c r="B544" s="87"/>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row>
    <row r="545" spans="1:26" ht="15.75" customHeight="1">
      <c r="A545" s="87"/>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row>
    <row r="546" spans="1:26" ht="15.75" customHeight="1">
      <c r="A546" s="87"/>
      <c r="B546" s="87"/>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row>
    <row r="547" spans="1:26" ht="15.75" customHeight="1">
      <c r="A547" s="87"/>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row>
    <row r="548" spans="1:26" ht="15.75" customHeight="1">
      <c r="A548" s="87"/>
      <c r="B548" s="87"/>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row>
    <row r="549" spans="1:26" ht="15.75" customHeight="1">
      <c r="A549" s="87"/>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row>
    <row r="550" spans="1:26" ht="15.75" customHeight="1">
      <c r="A550" s="87"/>
      <c r="B550" s="87"/>
      <c r="C550" s="87"/>
      <c r="D550" s="87"/>
      <c r="E550" s="87"/>
      <c r="F550" s="87"/>
      <c r="G550" s="87"/>
      <c r="H550" s="87"/>
      <c r="I550" s="87"/>
      <c r="J550" s="87"/>
      <c r="K550" s="87"/>
      <c r="L550" s="87"/>
      <c r="M550" s="87"/>
      <c r="N550" s="87"/>
      <c r="O550" s="87"/>
      <c r="P550" s="87"/>
      <c r="Q550" s="87"/>
      <c r="R550" s="87"/>
      <c r="S550" s="87"/>
      <c r="T550" s="87"/>
      <c r="U550" s="87"/>
      <c r="V550" s="87"/>
      <c r="W550" s="87"/>
      <c r="X550" s="87"/>
      <c r="Y550" s="87"/>
      <c r="Z550" s="87"/>
    </row>
    <row r="551" spans="1:26" ht="15.75" customHeight="1">
      <c r="A551" s="87"/>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row>
    <row r="552" spans="1:26" ht="15.75" customHeight="1">
      <c r="A552" s="87"/>
      <c r="B552" s="87"/>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row>
    <row r="553" spans="1:26" ht="15.75" customHeight="1">
      <c r="A553" s="87"/>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row>
    <row r="554" spans="1:26" ht="15.75" customHeight="1">
      <c r="A554" s="87"/>
      <c r="B554" s="87"/>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row>
    <row r="555" spans="1:26" ht="15.75" customHeight="1">
      <c r="A555" s="87"/>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row>
    <row r="556" spans="1:26" ht="15.75" customHeight="1">
      <c r="A556" s="87"/>
      <c r="B556" s="87"/>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row>
    <row r="557" spans="1:26" ht="15.75" customHeight="1">
      <c r="A557" s="87"/>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row>
    <row r="558" spans="1:26" ht="15.75" customHeight="1">
      <c r="A558" s="87"/>
      <c r="B558" s="87"/>
      <c r="C558" s="87"/>
      <c r="D558" s="87"/>
      <c r="E558" s="87"/>
      <c r="F558" s="87"/>
      <c r="G558" s="87"/>
      <c r="H558" s="87"/>
      <c r="I558" s="87"/>
      <c r="J558" s="87"/>
      <c r="K558" s="87"/>
      <c r="L558" s="87"/>
      <c r="M558" s="87"/>
      <c r="N558" s="87"/>
      <c r="O558" s="87"/>
      <c r="P558" s="87"/>
      <c r="Q558" s="87"/>
      <c r="R558" s="87"/>
      <c r="S558" s="87"/>
      <c r="T558" s="87"/>
      <c r="U558" s="87"/>
      <c r="V558" s="87"/>
      <c r="W558" s="87"/>
      <c r="X558" s="87"/>
      <c r="Y558" s="87"/>
      <c r="Z558" s="87"/>
    </row>
    <row r="559" spans="1:26" ht="15.75" customHeight="1">
      <c r="A559" s="87"/>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row>
    <row r="560" spans="1:26" ht="15.75" customHeight="1">
      <c r="A560" s="87"/>
      <c r="B560" s="87"/>
      <c r="C560" s="87"/>
      <c r="D560" s="87"/>
      <c r="E560" s="87"/>
      <c r="F560" s="87"/>
      <c r="G560" s="87"/>
      <c r="H560" s="87"/>
      <c r="I560" s="87"/>
      <c r="J560" s="87"/>
      <c r="K560" s="87"/>
      <c r="L560" s="87"/>
      <c r="M560" s="87"/>
      <c r="N560" s="87"/>
      <c r="O560" s="87"/>
      <c r="P560" s="87"/>
      <c r="Q560" s="87"/>
      <c r="R560" s="87"/>
      <c r="S560" s="87"/>
      <c r="T560" s="87"/>
      <c r="U560" s="87"/>
      <c r="V560" s="87"/>
      <c r="W560" s="87"/>
      <c r="X560" s="87"/>
      <c r="Y560" s="87"/>
      <c r="Z560" s="87"/>
    </row>
    <row r="561" spans="1:26" ht="15.75" customHeight="1">
      <c r="A561" s="87"/>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row>
    <row r="562" spans="1:26" ht="15.75" customHeight="1">
      <c r="A562" s="87"/>
      <c r="B562" s="87"/>
      <c r="C562" s="87"/>
      <c r="D562" s="87"/>
      <c r="E562" s="87"/>
      <c r="F562" s="87"/>
      <c r="G562" s="87"/>
      <c r="H562" s="87"/>
      <c r="I562" s="87"/>
      <c r="J562" s="87"/>
      <c r="K562" s="87"/>
      <c r="L562" s="87"/>
      <c r="M562" s="87"/>
      <c r="N562" s="87"/>
      <c r="O562" s="87"/>
      <c r="P562" s="87"/>
      <c r="Q562" s="87"/>
      <c r="R562" s="87"/>
      <c r="S562" s="87"/>
      <c r="T562" s="87"/>
      <c r="U562" s="87"/>
      <c r="V562" s="87"/>
      <c r="W562" s="87"/>
      <c r="X562" s="87"/>
      <c r="Y562" s="87"/>
      <c r="Z562" s="87"/>
    </row>
    <row r="563" spans="1:26" ht="15.75" customHeight="1">
      <c r="A563" s="87"/>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row>
    <row r="564" spans="1:26" ht="15.75" customHeight="1">
      <c r="A564" s="87"/>
      <c r="B564" s="87"/>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row>
    <row r="565" spans="1:26" ht="15.75" customHeight="1">
      <c r="A565" s="87"/>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row>
    <row r="566" spans="1:26" ht="15.75" customHeight="1">
      <c r="A566" s="87"/>
      <c r="B566" s="87"/>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row>
    <row r="567" spans="1:26" ht="15.75" customHeight="1">
      <c r="A567" s="87"/>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row>
    <row r="568" spans="1:26" ht="15.75" customHeight="1">
      <c r="A568" s="87"/>
      <c r="B568" s="87"/>
      <c r="C568" s="87"/>
      <c r="D568" s="87"/>
      <c r="E568" s="87"/>
      <c r="F568" s="87"/>
      <c r="G568" s="87"/>
      <c r="H568" s="87"/>
      <c r="I568" s="87"/>
      <c r="J568" s="87"/>
      <c r="K568" s="87"/>
      <c r="L568" s="87"/>
      <c r="M568" s="87"/>
      <c r="N568" s="87"/>
      <c r="O568" s="87"/>
      <c r="P568" s="87"/>
      <c r="Q568" s="87"/>
      <c r="R568" s="87"/>
      <c r="S568" s="87"/>
      <c r="T568" s="87"/>
      <c r="U568" s="87"/>
      <c r="V568" s="87"/>
      <c r="W568" s="87"/>
      <c r="X568" s="87"/>
      <c r="Y568" s="87"/>
      <c r="Z568" s="87"/>
    </row>
    <row r="569" spans="1:26" ht="15.75" customHeight="1">
      <c r="A569" s="87"/>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row>
    <row r="570" spans="1:26" ht="15.75" customHeight="1">
      <c r="A570" s="87"/>
      <c r="B570" s="87"/>
      <c r="C570" s="87"/>
      <c r="D570" s="87"/>
      <c r="E570" s="87"/>
      <c r="F570" s="87"/>
      <c r="G570" s="87"/>
      <c r="H570" s="87"/>
      <c r="I570" s="87"/>
      <c r="J570" s="87"/>
      <c r="K570" s="87"/>
      <c r="L570" s="87"/>
      <c r="M570" s="87"/>
      <c r="N570" s="87"/>
      <c r="O570" s="87"/>
      <c r="P570" s="87"/>
      <c r="Q570" s="87"/>
      <c r="R570" s="87"/>
      <c r="S570" s="87"/>
      <c r="T570" s="87"/>
      <c r="U570" s="87"/>
      <c r="V570" s="87"/>
      <c r="W570" s="87"/>
      <c r="X570" s="87"/>
      <c r="Y570" s="87"/>
      <c r="Z570" s="87"/>
    </row>
    <row r="571" spans="1:26" ht="15.75" customHeight="1">
      <c r="A571" s="87"/>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row>
    <row r="572" spans="1:26" ht="15.75" customHeight="1">
      <c r="A572" s="87"/>
      <c r="B572" s="87"/>
      <c r="C572" s="87"/>
      <c r="D572" s="87"/>
      <c r="E572" s="87"/>
      <c r="F572" s="87"/>
      <c r="G572" s="87"/>
      <c r="H572" s="87"/>
      <c r="I572" s="87"/>
      <c r="J572" s="87"/>
      <c r="K572" s="87"/>
      <c r="L572" s="87"/>
      <c r="M572" s="87"/>
      <c r="N572" s="87"/>
      <c r="O572" s="87"/>
      <c r="P572" s="87"/>
      <c r="Q572" s="87"/>
      <c r="R572" s="87"/>
      <c r="S572" s="87"/>
      <c r="T572" s="87"/>
      <c r="U572" s="87"/>
      <c r="V572" s="87"/>
      <c r="W572" s="87"/>
      <c r="X572" s="87"/>
      <c r="Y572" s="87"/>
      <c r="Z572" s="87"/>
    </row>
    <row r="573" spans="1:26" ht="15.75" customHeight="1">
      <c r="A573" s="87"/>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row>
    <row r="574" spans="1:26" ht="15.75" customHeight="1">
      <c r="A574" s="87"/>
      <c r="B574" s="87"/>
      <c r="C574" s="87"/>
      <c r="D574" s="87"/>
      <c r="E574" s="87"/>
      <c r="F574" s="87"/>
      <c r="G574" s="87"/>
      <c r="H574" s="87"/>
      <c r="I574" s="87"/>
      <c r="J574" s="87"/>
      <c r="K574" s="87"/>
      <c r="L574" s="87"/>
      <c r="M574" s="87"/>
      <c r="N574" s="87"/>
      <c r="O574" s="87"/>
      <c r="P574" s="87"/>
      <c r="Q574" s="87"/>
      <c r="R574" s="87"/>
      <c r="S574" s="87"/>
      <c r="T574" s="87"/>
      <c r="U574" s="87"/>
      <c r="V574" s="87"/>
      <c r="W574" s="87"/>
      <c r="X574" s="87"/>
      <c r="Y574" s="87"/>
      <c r="Z574" s="87"/>
    </row>
    <row r="575" spans="1:26" ht="15.75" customHeight="1">
      <c r="A575" s="87"/>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row>
    <row r="576" spans="1:26" ht="15.75" customHeight="1">
      <c r="A576" s="87"/>
      <c r="B576" s="87"/>
      <c r="C576" s="87"/>
      <c r="D576" s="87"/>
      <c r="E576" s="87"/>
      <c r="F576" s="87"/>
      <c r="G576" s="87"/>
      <c r="H576" s="87"/>
      <c r="I576" s="87"/>
      <c r="J576" s="87"/>
      <c r="K576" s="87"/>
      <c r="L576" s="87"/>
      <c r="M576" s="87"/>
      <c r="N576" s="87"/>
      <c r="O576" s="87"/>
      <c r="P576" s="87"/>
      <c r="Q576" s="87"/>
      <c r="R576" s="87"/>
      <c r="S576" s="87"/>
      <c r="T576" s="87"/>
      <c r="U576" s="87"/>
      <c r="V576" s="87"/>
      <c r="W576" s="87"/>
      <c r="X576" s="87"/>
      <c r="Y576" s="87"/>
      <c r="Z576" s="87"/>
    </row>
    <row r="577" spans="1:26" ht="15.75" customHeight="1">
      <c r="A577" s="87"/>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row>
    <row r="578" spans="1:26" ht="15.75" customHeight="1">
      <c r="A578" s="87"/>
      <c r="B578" s="87"/>
      <c r="C578" s="87"/>
      <c r="D578" s="87"/>
      <c r="E578" s="87"/>
      <c r="F578" s="87"/>
      <c r="G578" s="87"/>
      <c r="H578" s="87"/>
      <c r="I578" s="87"/>
      <c r="J578" s="87"/>
      <c r="K578" s="87"/>
      <c r="L578" s="87"/>
      <c r="M578" s="87"/>
      <c r="N578" s="87"/>
      <c r="O578" s="87"/>
      <c r="P578" s="87"/>
      <c r="Q578" s="87"/>
      <c r="R578" s="87"/>
      <c r="S578" s="87"/>
      <c r="T578" s="87"/>
      <c r="U578" s="87"/>
      <c r="V578" s="87"/>
      <c r="W578" s="87"/>
      <c r="X578" s="87"/>
      <c r="Y578" s="87"/>
      <c r="Z578" s="87"/>
    </row>
    <row r="579" spans="1:26" ht="15.75" customHeight="1">
      <c r="A579" s="87"/>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row>
    <row r="580" spans="1:26" ht="15.75" customHeight="1">
      <c r="A580" s="87"/>
      <c r="B580" s="87"/>
      <c r="C580" s="87"/>
      <c r="D580" s="87"/>
      <c r="E580" s="87"/>
      <c r="F580" s="87"/>
      <c r="G580" s="87"/>
      <c r="H580" s="87"/>
      <c r="I580" s="87"/>
      <c r="J580" s="87"/>
      <c r="K580" s="87"/>
      <c r="L580" s="87"/>
      <c r="M580" s="87"/>
      <c r="N580" s="87"/>
      <c r="O580" s="87"/>
      <c r="P580" s="87"/>
      <c r="Q580" s="87"/>
      <c r="R580" s="87"/>
      <c r="S580" s="87"/>
      <c r="T580" s="87"/>
      <c r="U580" s="87"/>
      <c r="V580" s="87"/>
      <c r="W580" s="87"/>
      <c r="X580" s="87"/>
      <c r="Y580" s="87"/>
      <c r="Z580" s="87"/>
    </row>
    <row r="581" spans="1:26" ht="15.75" customHeight="1">
      <c r="A581" s="87"/>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row>
    <row r="582" spans="1:26" ht="15.75" customHeight="1">
      <c r="A582" s="87"/>
      <c r="B582" s="87"/>
      <c r="C582" s="87"/>
      <c r="D582" s="87"/>
      <c r="E582" s="87"/>
      <c r="F582" s="87"/>
      <c r="G582" s="87"/>
      <c r="H582" s="87"/>
      <c r="I582" s="87"/>
      <c r="J582" s="87"/>
      <c r="K582" s="87"/>
      <c r="L582" s="87"/>
      <c r="M582" s="87"/>
      <c r="N582" s="87"/>
      <c r="O582" s="87"/>
      <c r="P582" s="87"/>
      <c r="Q582" s="87"/>
      <c r="R582" s="87"/>
      <c r="S582" s="87"/>
      <c r="T582" s="87"/>
      <c r="U582" s="87"/>
      <c r="V582" s="87"/>
      <c r="W582" s="87"/>
      <c r="X582" s="87"/>
      <c r="Y582" s="87"/>
      <c r="Z582" s="87"/>
    </row>
    <row r="583" spans="1:26" ht="15.75" customHeight="1">
      <c r="A583" s="87"/>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row>
    <row r="584" spans="1:26" ht="15.75" customHeight="1">
      <c r="A584" s="87"/>
      <c r="B584" s="87"/>
      <c r="C584" s="87"/>
      <c r="D584" s="87"/>
      <c r="E584" s="87"/>
      <c r="F584" s="87"/>
      <c r="G584" s="87"/>
      <c r="H584" s="87"/>
      <c r="I584" s="87"/>
      <c r="J584" s="87"/>
      <c r="K584" s="87"/>
      <c r="L584" s="87"/>
      <c r="M584" s="87"/>
      <c r="N584" s="87"/>
      <c r="O584" s="87"/>
      <c r="P584" s="87"/>
      <c r="Q584" s="87"/>
      <c r="R584" s="87"/>
      <c r="S584" s="87"/>
      <c r="T584" s="87"/>
      <c r="U584" s="87"/>
      <c r="V584" s="87"/>
      <c r="W584" s="87"/>
      <c r="X584" s="87"/>
      <c r="Y584" s="87"/>
      <c r="Z584" s="87"/>
    </row>
    <row r="585" spans="1:26" ht="15.75" customHeight="1">
      <c r="A585" s="87"/>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row>
    <row r="586" spans="1:26" ht="15.75" customHeight="1">
      <c r="A586" s="87"/>
      <c r="B586" s="87"/>
      <c r="C586" s="87"/>
      <c r="D586" s="87"/>
      <c r="E586" s="87"/>
      <c r="F586" s="87"/>
      <c r="G586" s="87"/>
      <c r="H586" s="87"/>
      <c r="I586" s="87"/>
      <c r="J586" s="87"/>
      <c r="K586" s="87"/>
      <c r="L586" s="87"/>
      <c r="M586" s="87"/>
      <c r="N586" s="87"/>
      <c r="O586" s="87"/>
      <c r="P586" s="87"/>
      <c r="Q586" s="87"/>
      <c r="R586" s="87"/>
      <c r="S586" s="87"/>
      <c r="T586" s="87"/>
      <c r="U586" s="87"/>
      <c r="V586" s="87"/>
      <c r="W586" s="87"/>
      <c r="X586" s="87"/>
      <c r="Y586" s="87"/>
      <c r="Z586" s="87"/>
    </row>
    <row r="587" spans="1:26" ht="15.75" customHeight="1">
      <c r="A587" s="87"/>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row>
    <row r="588" spans="1:26" ht="15.75" customHeight="1">
      <c r="A588" s="87"/>
      <c r="B588" s="87"/>
      <c r="C588" s="87"/>
      <c r="D588" s="87"/>
      <c r="E588" s="87"/>
      <c r="F588" s="87"/>
      <c r="G588" s="87"/>
      <c r="H588" s="87"/>
      <c r="I588" s="87"/>
      <c r="J588" s="87"/>
      <c r="K588" s="87"/>
      <c r="L588" s="87"/>
      <c r="M588" s="87"/>
      <c r="N588" s="87"/>
      <c r="O588" s="87"/>
      <c r="P588" s="87"/>
      <c r="Q588" s="87"/>
      <c r="R588" s="87"/>
      <c r="S588" s="87"/>
      <c r="T588" s="87"/>
      <c r="U588" s="87"/>
      <c r="V588" s="87"/>
      <c r="W588" s="87"/>
      <c r="X588" s="87"/>
      <c r="Y588" s="87"/>
      <c r="Z588" s="87"/>
    </row>
    <row r="589" spans="1:26" ht="15.75" customHeight="1">
      <c r="A589" s="87"/>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row>
    <row r="590" spans="1:26" ht="15.75" customHeight="1">
      <c r="A590" s="87"/>
      <c r="B590" s="87"/>
      <c r="C590" s="87"/>
      <c r="D590" s="87"/>
      <c r="E590" s="87"/>
      <c r="F590" s="87"/>
      <c r="G590" s="87"/>
      <c r="H590" s="87"/>
      <c r="I590" s="87"/>
      <c r="J590" s="87"/>
      <c r="K590" s="87"/>
      <c r="L590" s="87"/>
      <c r="M590" s="87"/>
      <c r="N590" s="87"/>
      <c r="O590" s="87"/>
      <c r="P590" s="87"/>
      <c r="Q590" s="87"/>
      <c r="R590" s="87"/>
      <c r="S590" s="87"/>
      <c r="T590" s="87"/>
      <c r="U590" s="87"/>
      <c r="V590" s="87"/>
      <c r="W590" s="87"/>
      <c r="X590" s="87"/>
      <c r="Y590" s="87"/>
      <c r="Z590" s="87"/>
    </row>
    <row r="591" spans="1:26" ht="15.75" customHeight="1">
      <c r="A591" s="87"/>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row>
    <row r="592" spans="1:26" ht="15.75" customHeight="1">
      <c r="A592" s="87"/>
      <c r="B592" s="87"/>
      <c r="C592" s="87"/>
      <c r="D592" s="87"/>
      <c r="E592" s="87"/>
      <c r="F592" s="87"/>
      <c r="G592" s="87"/>
      <c r="H592" s="87"/>
      <c r="I592" s="87"/>
      <c r="J592" s="87"/>
      <c r="K592" s="87"/>
      <c r="L592" s="87"/>
      <c r="M592" s="87"/>
      <c r="N592" s="87"/>
      <c r="O592" s="87"/>
      <c r="P592" s="87"/>
      <c r="Q592" s="87"/>
      <c r="R592" s="87"/>
      <c r="S592" s="87"/>
      <c r="T592" s="87"/>
      <c r="U592" s="87"/>
      <c r="V592" s="87"/>
      <c r="W592" s="87"/>
      <c r="X592" s="87"/>
      <c r="Y592" s="87"/>
      <c r="Z592" s="87"/>
    </row>
    <row r="593" spans="1:26" ht="15.75" customHeight="1">
      <c r="A593" s="87"/>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row>
    <row r="594" spans="1:26" ht="15.75" customHeight="1">
      <c r="A594" s="87"/>
      <c r="B594" s="87"/>
      <c r="C594" s="87"/>
      <c r="D594" s="87"/>
      <c r="E594" s="87"/>
      <c r="F594" s="87"/>
      <c r="G594" s="87"/>
      <c r="H594" s="87"/>
      <c r="I594" s="87"/>
      <c r="J594" s="87"/>
      <c r="K594" s="87"/>
      <c r="L594" s="87"/>
      <c r="M594" s="87"/>
      <c r="N594" s="87"/>
      <c r="O594" s="87"/>
      <c r="P594" s="87"/>
      <c r="Q594" s="87"/>
      <c r="R594" s="87"/>
      <c r="S594" s="87"/>
      <c r="T594" s="87"/>
      <c r="U594" s="87"/>
      <c r="V594" s="87"/>
      <c r="W594" s="87"/>
      <c r="X594" s="87"/>
      <c r="Y594" s="87"/>
      <c r="Z594" s="87"/>
    </row>
    <row r="595" spans="1:26" ht="15.75" customHeight="1">
      <c r="A595" s="87"/>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row>
    <row r="596" spans="1:26" ht="15.75" customHeight="1">
      <c r="A596" s="87"/>
      <c r="B596" s="87"/>
      <c r="C596" s="87"/>
      <c r="D596" s="87"/>
      <c r="E596" s="87"/>
      <c r="F596" s="87"/>
      <c r="G596" s="87"/>
      <c r="H596" s="87"/>
      <c r="I596" s="87"/>
      <c r="J596" s="87"/>
      <c r="K596" s="87"/>
      <c r="L596" s="87"/>
      <c r="M596" s="87"/>
      <c r="N596" s="87"/>
      <c r="O596" s="87"/>
      <c r="P596" s="87"/>
      <c r="Q596" s="87"/>
      <c r="R596" s="87"/>
      <c r="S596" s="87"/>
      <c r="T596" s="87"/>
      <c r="U596" s="87"/>
      <c r="V596" s="87"/>
      <c r="W596" s="87"/>
      <c r="X596" s="87"/>
      <c r="Y596" s="87"/>
      <c r="Z596" s="87"/>
    </row>
    <row r="597" spans="1:26" ht="15.75" customHeight="1">
      <c r="A597" s="87"/>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row>
    <row r="598" spans="1:26" ht="15.75" customHeight="1">
      <c r="A598" s="87"/>
      <c r="B598" s="87"/>
      <c r="C598" s="87"/>
      <c r="D598" s="87"/>
      <c r="E598" s="87"/>
      <c r="F598" s="87"/>
      <c r="G598" s="87"/>
      <c r="H598" s="87"/>
      <c r="I598" s="87"/>
      <c r="J598" s="87"/>
      <c r="K598" s="87"/>
      <c r="L598" s="87"/>
      <c r="M598" s="87"/>
      <c r="N598" s="87"/>
      <c r="O598" s="87"/>
      <c r="P598" s="87"/>
      <c r="Q598" s="87"/>
      <c r="R598" s="87"/>
      <c r="S598" s="87"/>
      <c r="T598" s="87"/>
      <c r="U598" s="87"/>
      <c r="V598" s="87"/>
      <c r="W598" s="87"/>
      <c r="X598" s="87"/>
      <c r="Y598" s="87"/>
      <c r="Z598" s="87"/>
    </row>
    <row r="599" spans="1:26" ht="15.75" customHeight="1">
      <c r="A599" s="87"/>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row>
    <row r="600" spans="1:26" ht="15.75" customHeight="1">
      <c r="A600" s="87"/>
      <c r="B600" s="87"/>
      <c r="C600" s="87"/>
      <c r="D600" s="87"/>
      <c r="E600" s="87"/>
      <c r="F600" s="87"/>
      <c r="G600" s="87"/>
      <c r="H600" s="87"/>
      <c r="I600" s="87"/>
      <c r="J600" s="87"/>
      <c r="K600" s="87"/>
      <c r="L600" s="87"/>
      <c r="M600" s="87"/>
      <c r="N600" s="87"/>
      <c r="O600" s="87"/>
      <c r="P600" s="87"/>
      <c r="Q600" s="87"/>
      <c r="R600" s="87"/>
      <c r="S600" s="87"/>
      <c r="T600" s="87"/>
      <c r="U600" s="87"/>
      <c r="V600" s="87"/>
      <c r="W600" s="87"/>
      <c r="X600" s="87"/>
      <c r="Y600" s="87"/>
      <c r="Z600" s="87"/>
    </row>
    <row r="601" spans="1:26" ht="15.75" customHeight="1">
      <c r="A601" s="87"/>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row>
    <row r="602" spans="1:26" ht="15.75" customHeight="1">
      <c r="A602" s="87"/>
      <c r="B602" s="87"/>
      <c r="C602" s="87"/>
      <c r="D602" s="87"/>
      <c r="E602" s="87"/>
      <c r="F602" s="87"/>
      <c r="G602" s="87"/>
      <c r="H602" s="87"/>
      <c r="I602" s="87"/>
      <c r="J602" s="87"/>
      <c r="K602" s="87"/>
      <c r="L602" s="87"/>
      <c r="M602" s="87"/>
      <c r="N602" s="87"/>
      <c r="O602" s="87"/>
      <c r="P602" s="87"/>
      <c r="Q602" s="87"/>
      <c r="R602" s="87"/>
      <c r="S602" s="87"/>
      <c r="T602" s="87"/>
      <c r="U602" s="87"/>
      <c r="V602" s="87"/>
      <c r="W602" s="87"/>
      <c r="X602" s="87"/>
      <c r="Y602" s="87"/>
      <c r="Z602" s="87"/>
    </row>
    <row r="603" spans="1:26" ht="15.75" customHeight="1">
      <c r="A603" s="87"/>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row>
    <row r="604" spans="1:26" ht="15.75" customHeight="1">
      <c r="A604" s="87"/>
      <c r="B604" s="87"/>
      <c r="C604" s="87"/>
      <c r="D604" s="87"/>
      <c r="E604" s="87"/>
      <c r="F604" s="87"/>
      <c r="G604" s="87"/>
      <c r="H604" s="87"/>
      <c r="I604" s="87"/>
      <c r="J604" s="87"/>
      <c r="K604" s="87"/>
      <c r="L604" s="87"/>
      <c r="M604" s="87"/>
      <c r="N604" s="87"/>
      <c r="O604" s="87"/>
      <c r="P604" s="87"/>
      <c r="Q604" s="87"/>
      <c r="R604" s="87"/>
      <c r="S604" s="87"/>
      <c r="T604" s="87"/>
      <c r="U604" s="87"/>
      <c r="V604" s="87"/>
      <c r="W604" s="87"/>
      <c r="X604" s="87"/>
      <c r="Y604" s="87"/>
      <c r="Z604" s="87"/>
    </row>
    <row r="605" spans="1:26" ht="15.75" customHeight="1">
      <c r="A605" s="87"/>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row>
    <row r="606" spans="1:26" ht="15.75" customHeight="1">
      <c r="A606" s="87"/>
      <c r="B606" s="87"/>
      <c r="C606" s="87"/>
      <c r="D606" s="87"/>
      <c r="E606" s="87"/>
      <c r="F606" s="87"/>
      <c r="G606" s="87"/>
      <c r="H606" s="87"/>
      <c r="I606" s="87"/>
      <c r="J606" s="87"/>
      <c r="K606" s="87"/>
      <c r="L606" s="87"/>
      <c r="M606" s="87"/>
      <c r="N606" s="87"/>
      <c r="O606" s="87"/>
      <c r="P606" s="87"/>
      <c r="Q606" s="87"/>
      <c r="R606" s="87"/>
      <c r="S606" s="87"/>
      <c r="T606" s="87"/>
      <c r="U606" s="87"/>
      <c r="V606" s="87"/>
      <c r="W606" s="87"/>
      <c r="X606" s="87"/>
      <c r="Y606" s="87"/>
      <c r="Z606" s="87"/>
    </row>
    <row r="607" spans="1:26" ht="15.75" customHeight="1">
      <c r="A607" s="87"/>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row>
    <row r="608" spans="1:26" ht="15.75" customHeight="1">
      <c r="A608" s="87"/>
      <c r="B608" s="87"/>
      <c r="C608" s="87"/>
      <c r="D608" s="87"/>
      <c r="E608" s="87"/>
      <c r="F608" s="87"/>
      <c r="G608" s="87"/>
      <c r="H608" s="87"/>
      <c r="I608" s="87"/>
      <c r="J608" s="87"/>
      <c r="K608" s="87"/>
      <c r="L608" s="87"/>
      <c r="M608" s="87"/>
      <c r="N608" s="87"/>
      <c r="O608" s="87"/>
      <c r="P608" s="87"/>
      <c r="Q608" s="87"/>
      <c r="R608" s="87"/>
      <c r="S608" s="87"/>
      <c r="T608" s="87"/>
      <c r="U608" s="87"/>
      <c r="V608" s="87"/>
      <c r="W608" s="87"/>
      <c r="X608" s="87"/>
      <c r="Y608" s="87"/>
      <c r="Z608" s="87"/>
    </row>
    <row r="609" spans="1:26" ht="15.75" customHeight="1">
      <c r="A609" s="87"/>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row>
    <row r="610" spans="1:26" ht="15.75" customHeight="1">
      <c r="A610" s="87"/>
      <c r="B610" s="87"/>
      <c r="C610" s="87"/>
      <c r="D610" s="87"/>
      <c r="E610" s="87"/>
      <c r="F610" s="87"/>
      <c r="G610" s="87"/>
      <c r="H610" s="87"/>
      <c r="I610" s="87"/>
      <c r="J610" s="87"/>
      <c r="K610" s="87"/>
      <c r="L610" s="87"/>
      <c r="M610" s="87"/>
      <c r="N610" s="87"/>
      <c r="O610" s="87"/>
      <c r="P610" s="87"/>
      <c r="Q610" s="87"/>
      <c r="R610" s="87"/>
      <c r="S610" s="87"/>
      <c r="T610" s="87"/>
      <c r="U610" s="87"/>
      <c r="V610" s="87"/>
      <c r="W610" s="87"/>
      <c r="X610" s="87"/>
      <c r="Y610" s="87"/>
      <c r="Z610" s="87"/>
    </row>
    <row r="611" spans="1:26" ht="15.75" customHeight="1">
      <c r="A611" s="87"/>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row>
    <row r="612" spans="1:26" ht="15.75" customHeight="1">
      <c r="A612" s="87"/>
      <c r="B612" s="87"/>
      <c r="C612" s="87"/>
      <c r="D612" s="87"/>
      <c r="E612" s="87"/>
      <c r="F612" s="87"/>
      <c r="G612" s="87"/>
      <c r="H612" s="87"/>
      <c r="I612" s="87"/>
      <c r="J612" s="87"/>
      <c r="K612" s="87"/>
      <c r="L612" s="87"/>
      <c r="M612" s="87"/>
      <c r="N612" s="87"/>
      <c r="O612" s="87"/>
      <c r="P612" s="87"/>
      <c r="Q612" s="87"/>
      <c r="R612" s="87"/>
      <c r="S612" s="87"/>
      <c r="T612" s="87"/>
      <c r="U612" s="87"/>
      <c r="V612" s="87"/>
      <c r="W612" s="87"/>
      <c r="X612" s="87"/>
      <c r="Y612" s="87"/>
      <c r="Z612" s="87"/>
    </row>
    <row r="613" spans="1:26" ht="15.75" customHeight="1">
      <c r="A613" s="87"/>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row>
    <row r="614" spans="1:26" ht="15.75" customHeight="1">
      <c r="A614" s="87"/>
      <c r="B614" s="87"/>
      <c r="C614" s="87"/>
      <c r="D614" s="87"/>
      <c r="E614" s="87"/>
      <c r="F614" s="87"/>
      <c r="G614" s="87"/>
      <c r="H614" s="87"/>
      <c r="I614" s="87"/>
      <c r="J614" s="87"/>
      <c r="K614" s="87"/>
      <c r="L614" s="87"/>
      <c r="M614" s="87"/>
      <c r="N614" s="87"/>
      <c r="O614" s="87"/>
      <c r="P614" s="87"/>
      <c r="Q614" s="87"/>
      <c r="R614" s="87"/>
      <c r="S614" s="87"/>
      <c r="T614" s="87"/>
      <c r="U614" s="87"/>
      <c r="V614" s="87"/>
      <c r="W614" s="87"/>
      <c r="X614" s="87"/>
      <c r="Y614" s="87"/>
      <c r="Z614" s="87"/>
    </row>
    <row r="615" spans="1:26" ht="15.75" customHeight="1">
      <c r="A615" s="87"/>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row>
    <row r="616" spans="1:26" ht="15.75" customHeight="1">
      <c r="A616" s="87"/>
      <c r="B616" s="87"/>
      <c r="C616" s="87"/>
      <c r="D616" s="87"/>
      <c r="E616" s="87"/>
      <c r="F616" s="87"/>
      <c r="G616" s="87"/>
      <c r="H616" s="87"/>
      <c r="I616" s="87"/>
      <c r="J616" s="87"/>
      <c r="K616" s="87"/>
      <c r="L616" s="87"/>
      <c r="M616" s="87"/>
      <c r="N616" s="87"/>
      <c r="O616" s="87"/>
      <c r="P616" s="87"/>
      <c r="Q616" s="87"/>
      <c r="R616" s="87"/>
      <c r="S616" s="87"/>
      <c r="T616" s="87"/>
      <c r="U616" s="87"/>
      <c r="V616" s="87"/>
      <c r="W616" s="87"/>
      <c r="X616" s="87"/>
      <c r="Y616" s="87"/>
      <c r="Z616" s="87"/>
    </row>
    <row r="617" spans="1:26" ht="15.75" customHeight="1">
      <c r="A617" s="87"/>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row>
    <row r="618" spans="1:26" ht="15.75" customHeight="1">
      <c r="A618" s="87"/>
      <c r="B618" s="87"/>
      <c r="C618" s="87"/>
      <c r="D618" s="87"/>
      <c r="E618" s="87"/>
      <c r="F618" s="87"/>
      <c r="G618" s="87"/>
      <c r="H618" s="87"/>
      <c r="I618" s="87"/>
      <c r="J618" s="87"/>
      <c r="K618" s="87"/>
      <c r="L618" s="87"/>
      <c r="M618" s="87"/>
      <c r="N618" s="87"/>
      <c r="O618" s="87"/>
      <c r="P618" s="87"/>
      <c r="Q618" s="87"/>
      <c r="R618" s="87"/>
      <c r="S618" s="87"/>
      <c r="T618" s="87"/>
      <c r="U618" s="87"/>
      <c r="V618" s="87"/>
      <c r="W618" s="87"/>
      <c r="X618" s="87"/>
      <c r="Y618" s="87"/>
      <c r="Z618" s="87"/>
    </row>
    <row r="619" spans="1:26" ht="15.75" customHeight="1">
      <c r="A619" s="87"/>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row>
    <row r="620" spans="1:26" ht="15.75" customHeight="1">
      <c r="A620" s="87"/>
      <c r="B620" s="87"/>
      <c r="C620" s="87"/>
      <c r="D620" s="87"/>
      <c r="E620" s="87"/>
      <c r="F620" s="87"/>
      <c r="G620" s="87"/>
      <c r="H620" s="87"/>
      <c r="I620" s="87"/>
      <c r="J620" s="87"/>
      <c r="K620" s="87"/>
      <c r="L620" s="87"/>
      <c r="M620" s="87"/>
      <c r="N620" s="87"/>
      <c r="O620" s="87"/>
      <c r="P620" s="87"/>
      <c r="Q620" s="87"/>
      <c r="R620" s="87"/>
      <c r="S620" s="87"/>
      <c r="T620" s="87"/>
      <c r="U620" s="87"/>
      <c r="V620" s="87"/>
      <c r="W620" s="87"/>
      <c r="X620" s="87"/>
      <c r="Y620" s="87"/>
      <c r="Z620" s="87"/>
    </row>
    <row r="621" spans="1:26" ht="15.75" customHeight="1">
      <c r="A621" s="87"/>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row>
    <row r="622" spans="1:26" ht="15.75" customHeight="1">
      <c r="A622" s="87"/>
      <c r="B622" s="87"/>
      <c r="C622" s="87"/>
      <c r="D622" s="87"/>
      <c r="E622" s="87"/>
      <c r="F622" s="87"/>
      <c r="G622" s="87"/>
      <c r="H622" s="87"/>
      <c r="I622" s="87"/>
      <c r="J622" s="87"/>
      <c r="K622" s="87"/>
      <c r="L622" s="87"/>
      <c r="M622" s="87"/>
      <c r="N622" s="87"/>
      <c r="O622" s="87"/>
      <c r="P622" s="87"/>
      <c r="Q622" s="87"/>
      <c r="R622" s="87"/>
      <c r="S622" s="87"/>
      <c r="T622" s="87"/>
      <c r="U622" s="87"/>
      <c r="V622" s="87"/>
      <c r="W622" s="87"/>
      <c r="X622" s="87"/>
      <c r="Y622" s="87"/>
      <c r="Z622" s="87"/>
    </row>
    <row r="623" spans="1:26" ht="15.75" customHeight="1">
      <c r="A623" s="87"/>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row>
    <row r="624" spans="1:26" ht="15.75" customHeight="1">
      <c r="A624" s="87"/>
      <c r="B624" s="87"/>
      <c r="C624" s="87"/>
      <c r="D624" s="87"/>
      <c r="E624" s="87"/>
      <c r="F624" s="87"/>
      <c r="G624" s="87"/>
      <c r="H624" s="87"/>
      <c r="I624" s="87"/>
      <c r="J624" s="87"/>
      <c r="K624" s="87"/>
      <c r="L624" s="87"/>
      <c r="M624" s="87"/>
      <c r="N624" s="87"/>
      <c r="O624" s="87"/>
      <c r="P624" s="87"/>
      <c r="Q624" s="87"/>
      <c r="R624" s="87"/>
      <c r="S624" s="87"/>
      <c r="T624" s="87"/>
      <c r="U624" s="87"/>
      <c r="V624" s="87"/>
      <c r="W624" s="87"/>
      <c r="X624" s="87"/>
      <c r="Y624" s="87"/>
      <c r="Z624" s="87"/>
    </row>
    <row r="625" spans="1:26" ht="15.75" customHeight="1">
      <c r="A625" s="87"/>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row>
    <row r="626" spans="1:26" ht="15.75" customHeight="1">
      <c r="A626" s="87"/>
      <c r="B626" s="87"/>
      <c r="C626" s="87"/>
      <c r="D626" s="87"/>
      <c r="E626" s="87"/>
      <c r="F626" s="87"/>
      <c r="G626" s="87"/>
      <c r="H626" s="87"/>
      <c r="I626" s="87"/>
      <c r="J626" s="87"/>
      <c r="K626" s="87"/>
      <c r="L626" s="87"/>
      <c r="M626" s="87"/>
      <c r="N626" s="87"/>
      <c r="O626" s="87"/>
      <c r="P626" s="87"/>
      <c r="Q626" s="87"/>
      <c r="R626" s="87"/>
      <c r="S626" s="87"/>
      <c r="T626" s="87"/>
      <c r="U626" s="87"/>
      <c r="V626" s="87"/>
      <c r="W626" s="87"/>
      <c r="X626" s="87"/>
      <c r="Y626" s="87"/>
      <c r="Z626" s="87"/>
    </row>
    <row r="627" spans="1:26" ht="15.75" customHeight="1">
      <c r="A627" s="87"/>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row>
    <row r="628" spans="1:26" ht="15.75" customHeight="1">
      <c r="A628" s="87"/>
      <c r="B628" s="87"/>
      <c r="C628" s="87"/>
      <c r="D628" s="87"/>
      <c r="E628" s="87"/>
      <c r="F628" s="87"/>
      <c r="G628" s="87"/>
      <c r="H628" s="87"/>
      <c r="I628" s="87"/>
      <c r="J628" s="87"/>
      <c r="K628" s="87"/>
      <c r="L628" s="87"/>
      <c r="M628" s="87"/>
      <c r="N628" s="87"/>
      <c r="O628" s="87"/>
      <c r="P628" s="87"/>
      <c r="Q628" s="87"/>
      <c r="R628" s="87"/>
      <c r="S628" s="87"/>
      <c r="T628" s="87"/>
      <c r="U628" s="87"/>
      <c r="V628" s="87"/>
      <c r="W628" s="87"/>
      <c r="X628" s="87"/>
      <c r="Y628" s="87"/>
      <c r="Z628" s="87"/>
    </row>
    <row r="629" spans="1:26" ht="15.75" customHeight="1">
      <c r="A629" s="87"/>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row>
    <row r="630" spans="1:26" ht="15.75" customHeight="1">
      <c r="A630" s="87"/>
      <c r="B630" s="87"/>
      <c r="C630" s="87"/>
      <c r="D630" s="87"/>
      <c r="E630" s="87"/>
      <c r="F630" s="87"/>
      <c r="G630" s="87"/>
      <c r="H630" s="87"/>
      <c r="I630" s="87"/>
      <c r="J630" s="87"/>
      <c r="K630" s="87"/>
      <c r="L630" s="87"/>
      <c r="M630" s="87"/>
      <c r="N630" s="87"/>
      <c r="O630" s="87"/>
      <c r="P630" s="87"/>
      <c r="Q630" s="87"/>
      <c r="R630" s="87"/>
      <c r="S630" s="87"/>
      <c r="T630" s="87"/>
      <c r="U630" s="87"/>
      <c r="V630" s="87"/>
      <c r="W630" s="87"/>
      <c r="X630" s="87"/>
      <c r="Y630" s="87"/>
      <c r="Z630" s="87"/>
    </row>
    <row r="631" spans="1:26" ht="15.75" customHeight="1">
      <c r="A631" s="87"/>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row>
    <row r="632" spans="1:26" ht="15.75" customHeight="1">
      <c r="A632" s="87"/>
      <c r="B632" s="87"/>
      <c r="C632" s="87"/>
      <c r="D632" s="87"/>
      <c r="E632" s="87"/>
      <c r="F632" s="87"/>
      <c r="G632" s="87"/>
      <c r="H632" s="87"/>
      <c r="I632" s="87"/>
      <c r="J632" s="87"/>
      <c r="K632" s="87"/>
      <c r="L632" s="87"/>
      <c r="M632" s="87"/>
      <c r="N632" s="87"/>
      <c r="O632" s="87"/>
      <c r="P632" s="87"/>
      <c r="Q632" s="87"/>
      <c r="R632" s="87"/>
      <c r="S632" s="87"/>
      <c r="T632" s="87"/>
      <c r="U632" s="87"/>
      <c r="V632" s="87"/>
      <c r="W632" s="87"/>
      <c r="X632" s="87"/>
      <c r="Y632" s="87"/>
      <c r="Z632" s="87"/>
    </row>
    <row r="633" spans="1:26" ht="15.75" customHeight="1">
      <c r="A633" s="87"/>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row>
    <row r="634" spans="1:26" ht="15.75" customHeight="1">
      <c r="A634" s="87"/>
      <c r="B634" s="87"/>
      <c r="C634" s="87"/>
      <c r="D634" s="87"/>
      <c r="E634" s="87"/>
      <c r="F634" s="87"/>
      <c r="G634" s="87"/>
      <c r="H634" s="87"/>
      <c r="I634" s="87"/>
      <c r="J634" s="87"/>
      <c r="K634" s="87"/>
      <c r="L634" s="87"/>
      <c r="M634" s="87"/>
      <c r="N634" s="87"/>
      <c r="O634" s="87"/>
      <c r="P634" s="87"/>
      <c r="Q634" s="87"/>
      <c r="R634" s="87"/>
      <c r="S634" s="87"/>
      <c r="T634" s="87"/>
      <c r="U634" s="87"/>
      <c r="V634" s="87"/>
      <c r="W634" s="87"/>
      <c r="X634" s="87"/>
      <c r="Y634" s="87"/>
      <c r="Z634" s="87"/>
    </row>
    <row r="635" spans="1:26" ht="15.75" customHeight="1">
      <c r="A635" s="87"/>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row>
    <row r="636" spans="1:26" ht="15.75" customHeight="1">
      <c r="A636" s="87"/>
      <c r="B636" s="87"/>
      <c r="C636" s="87"/>
      <c r="D636" s="87"/>
      <c r="E636" s="87"/>
      <c r="F636" s="87"/>
      <c r="G636" s="87"/>
      <c r="H636" s="87"/>
      <c r="I636" s="87"/>
      <c r="J636" s="87"/>
      <c r="K636" s="87"/>
      <c r="L636" s="87"/>
      <c r="M636" s="87"/>
      <c r="N636" s="87"/>
      <c r="O636" s="87"/>
      <c r="P636" s="87"/>
      <c r="Q636" s="87"/>
      <c r="R636" s="87"/>
      <c r="S636" s="87"/>
      <c r="T636" s="87"/>
      <c r="U636" s="87"/>
      <c r="V636" s="87"/>
      <c r="W636" s="87"/>
      <c r="X636" s="87"/>
      <c r="Y636" s="87"/>
      <c r="Z636" s="87"/>
    </row>
    <row r="637" spans="1:26" ht="15.75" customHeight="1">
      <c r="A637" s="87"/>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row>
    <row r="638" spans="1:26" ht="15.75" customHeight="1">
      <c r="A638" s="87"/>
      <c r="B638" s="87"/>
      <c r="C638" s="87"/>
      <c r="D638" s="87"/>
      <c r="E638" s="87"/>
      <c r="F638" s="87"/>
      <c r="G638" s="87"/>
      <c r="H638" s="87"/>
      <c r="I638" s="87"/>
      <c r="J638" s="87"/>
      <c r="K638" s="87"/>
      <c r="L638" s="87"/>
      <c r="M638" s="87"/>
      <c r="N638" s="87"/>
      <c r="O638" s="87"/>
      <c r="P638" s="87"/>
      <c r="Q638" s="87"/>
      <c r="R638" s="87"/>
      <c r="S638" s="87"/>
      <c r="T638" s="87"/>
      <c r="U638" s="87"/>
      <c r="V638" s="87"/>
      <c r="W638" s="87"/>
      <c r="X638" s="87"/>
      <c r="Y638" s="87"/>
      <c r="Z638" s="87"/>
    </row>
    <row r="639" spans="1:26" ht="15.75" customHeight="1">
      <c r="A639" s="87"/>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row>
    <row r="640" spans="1:26" ht="15.75" customHeight="1">
      <c r="A640" s="87"/>
      <c r="B640" s="87"/>
      <c r="C640" s="87"/>
      <c r="D640" s="87"/>
      <c r="E640" s="87"/>
      <c r="F640" s="87"/>
      <c r="G640" s="87"/>
      <c r="H640" s="87"/>
      <c r="I640" s="87"/>
      <c r="J640" s="87"/>
      <c r="K640" s="87"/>
      <c r="L640" s="87"/>
      <c r="M640" s="87"/>
      <c r="N640" s="87"/>
      <c r="O640" s="87"/>
      <c r="P640" s="87"/>
      <c r="Q640" s="87"/>
      <c r="R640" s="87"/>
      <c r="S640" s="87"/>
      <c r="T640" s="87"/>
      <c r="U640" s="87"/>
      <c r="V640" s="87"/>
      <c r="W640" s="87"/>
      <c r="X640" s="87"/>
      <c r="Y640" s="87"/>
      <c r="Z640" s="87"/>
    </row>
    <row r="641" spans="1:26" ht="15.75" customHeight="1">
      <c r="A641" s="87"/>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row>
    <row r="642" spans="1:26" ht="15.75" customHeight="1">
      <c r="A642" s="87"/>
      <c r="B642" s="87"/>
      <c r="C642" s="87"/>
      <c r="D642" s="87"/>
      <c r="E642" s="87"/>
      <c r="F642" s="87"/>
      <c r="G642" s="87"/>
      <c r="H642" s="87"/>
      <c r="I642" s="87"/>
      <c r="J642" s="87"/>
      <c r="K642" s="87"/>
      <c r="L642" s="87"/>
      <c r="M642" s="87"/>
      <c r="N642" s="87"/>
      <c r="O642" s="87"/>
      <c r="P642" s="87"/>
      <c r="Q642" s="87"/>
      <c r="R642" s="87"/>
      <c r="S642" s="87"/>
      <c r="T642" s="87"/>
      <c r="U642" s="87"/>
      <c r="V642" s="87"/>
      <c r="W642" s="87"/>
      <c r="X642" s="87"/>
      <c r="Y642" s="87"/>
      <c r="Z642" s="87"/>
    </row>
    <row r="643" spans="1:26" ht="15.75" customHeight="1">
      <c r="A643" s="87"/>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row>
    <row r="644" spans="1:26" ht="15.75" customHeight="1">
      <c r="A644" s="87"/>
      <c r="B644" s="87"/>
      <c r="C644" s="87"/>
      <c r="D644" s="87"/>
      <c r="E644" s="87"/>
      <c r="F644" s="87"/>
      <c r="G644" s="87"/>
      <c r="H644" s="87"/>
      <c r="I644" s="87"/>
      <c r="J644" s="87"/>
      <c r="K644" s="87"/>
      <c r="L644" s="87"/>
      <c r="M644" s="87"/>
      <c r="N644" s="87"/>
      <c r="O644" s="87"/>
      <c r="P644" s="87"/>
      <c r="Q644" s="87"/>
      <c r="R644" s="87"/>
      <c r="S644" s="87"/>
      <c r="T644" s="87"/>
      <c r="U644" s="87"/>
      <c r="V644" s="87"/>
      <c r="W644" s="87"/>
      <c r="X644" s="87"/>
      <c r="Y644" s="87"/>
      <c r="Z644" s="87"/>
    </row>
    <row r="645" spans="1:26" ht="15.75" customHeight="1">
      <c r="A645" s="87"/>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row>
    <row r="646" spans="1:26" ht="15.75" customHeight="1">
      <c r="A646" s="87"/>
      <c r="B646" s="87"/>
      <c r="C646" s="87"/>
      <c r="D646" s="87"/>
      <c r="E646" s="87"/>
      <c r="F646" s="87"/>
      <c r="G646" s="87"/>
      <c r="H646" s="87"/>
      <c r="I646" s="87"/>
      <c r="J646" s="87"/>
      <c r="K646" s="87"/>
      <c r="L646" s="87"/>
      <c r="M646" s="87"/>
      <c r="N646" s="87"/>
      <c r="O646" s="87"/>
      <c r="P646" s="87"/>
      <c r="Q646" s="87"/>
      <c r="R646" s="87"/>
      <c r="S646" s="87"/>
      <c r="T646" s="87"/>
      <c r="U646" s="87"/>
      <c r="V646" s="87"/>
      <c r="W646" s="87"/>
      <c r="X646" s="87"/>
      <c r="Y646" s="87"/>
      <c r="Z646" s="87"/>
    </row>
    <row r="647" spans="1:26" ht="15.75" customHeight="1">
      <c r="A647" s="87"/>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row>
    <row r="648" spans="1:26" ht="15.75" customHeight="1">
      <c r="A648" s="87"/>
      <c r="B648" s="87"/>
      <c r="C648" s="87"/>
      <c r="D648" s="87"/>
      <c r="E648" s="87"/>
      <c r="F648" s="87"/>
      <c r="G648" s="87"/>
      <c r="H648" s="87"/>
      <c r="I648" s="87"/>
      <c r="J648" s="87"/>
      <c r="K648" s="87"/>
      <c r="L648" s="87"/>
      <c r="M648" s="87"/>
      <c r="N648" s="87"/>
      <c r="O648" s="87"/>
      <c r="P648" s="87"/>
      <c r="Q648" s="87"/>
      <c r="R648" s="87"/>
      <c r="S648" s="87"/>
      <c r="T648" s="87"/>
      <c r="U648" s="87"/>
      <c r="V648" s="87"/>
      <c r="W648" s="87"/>
      <c r="X648" s="87"/>
      <c r="Y648" s="87"/>
      <c r="Z648" s="87"/>
    </row>
    <row r="649" spans="1:26" ht="15.75" customHeight="1">
      <c r="A649" s="87"/>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row>
    <row r="650" spans="1:26" ht="15.75" customHeight="1">
      <c r="A650" s="87"/>
      <c r="B650" s="87"/>
      <c r="C650" s="87"/>
      <c r="D650" s="87"/>
      <c r="E650" s="87"/>
      <c r="F650" s="87"/>
      <c r="G650" s="87"/>
      <c r="H650" s="87"/>
      <c r="I650" s="87"/>
      <c r="J650" s="87"/>
      <c r="K650" s="87"/>
      <c r="L650" s="87"/>
      <c r="M650" s="87"/>
      <c r="N650" s="87"/>
      <c r="O650" s="87"/>
      <c r="P650" s="87"/>
      <c r="Q650" s="87"/>
      <c r="R650" s="87"/>
      <c r="S650" s="87"/>
      <c r="T650" s="87"/>
      <c r="U650" s="87"/>
      <c r="V650" s="87"/>
      <c r="W650" s="87"/>
      <c r="X650" s="87"/>
      <c r="Y650" s="87"/>
      <c r="Z650" s="87"/>
    </row>
    <row r="651" spans="1:26" ht="15.75" customHeight="1">
      <c r="A651" s="87"/>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row>
    <row r="652" spans="1:26" ht="15.75" customHeight="1">
      <c r="A652" s="87"/>
      <c r="B652" s="87"/>
      <c r="C652" s="87"/>
      <c r="D652" s="87"/>
      <c r="E652" s="87"/>
      <c r="F652" s="87"/>
      <c r="G652" s="87"/>
      <c r="H652" s="87"/>
      <c r="I652" s="87"/>
      <c r="J652" s="87"/>
      <c r="K652" s="87"/>
      <c r="L652" s="87"/>
      <c r="M652" s="87"/>
      <c r="N652" s="87"/>
      <c r="O652" s="87"/>
      <c r="P652" s="87"/>
      <c r="Q652" s="87"/>
      <c r="R652" s="87"/>
      <c r="S652" s="87"/>
      <c r="T652" s="87"/>
      <c r="U652" s="87"/>
      <c r="V652" s="87"/>
      <c r="W652" s="87"/>
      <c r="X652" s="87"/>
      <c r="Y652" s="87"/>
      <c r="Z652" s="87"/>
    </row>
    <row r="653" spans="1:26" ht="15.75" customHeight="1">
      <c r="A653" s="87"/>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row>
    <row r="654" spans="1:26" ht="15.75" customHeight="1">
      <c r="A654" s="87"/>
      <c r="B654" s="87"/>
      <c r="C654" s="87"/>
      <c r="D654" s="87"/>
      <c r="E654" s="87"/>
      <c r="F654" s="87"/>
      <c r="G654" s="87"/>
      <c r="H654" s="87"/>
      <c r="I654" s="87"/>
      <c r="J654" s="87"/>
      <c r="K654" s="87"/>
      <c r="L654" s="87"/>
      <c r="M654" s="87"/>
      <c r="N654" s="87"/>
      <c r="O654" s="87"/>
      <c r="P654" s="87"/>
      <c r="Q654" s="87"/>
      <c r="R654" s="87"/>
      <c r="S654" s="87"/>
      <c r="T654" s="87"/>
      <c r="U654" s="87"/>
      <c r="V654" s="87"/>
      <c r="W654" s="87"/>
      <c r="X654" s="87"/>
      <c r="Y654" s="87"/>
      <c r="Z654" s="87"/>
    </row>
    <row r="655" spans="1:26" ht="15.75" customHeight="1">
      <c r="A655" s="87"/>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row>
    <row r="656" spans="1:26" ht="15.75" customHeight="1">
      <c r="A656" s="87"/>
      <c r="B656" s="87"/>
      <c r="C656" s="87"/>
      <c r="D656" s="87"/>
      <c r="E656" s="87"/>
      <c r="F656" s="87"/>
      <c r="G656" s="87"/>
      <c r="H656" s="87"/>
      <c r="I656" s="87"/>
      <c r="J656" s="87"/>
      <c r="K656" s="87"/>
      <c r="L656" s="87"/>
      <c r="M656" s="87"/>
      <c r="N656" s="87"/>
      <c r="O656" s="87"/>
      <c r="P656" s="87"/>
      <c r="Q656" s="87"/>
      <c r="R656" s="87"/>
      <c r="S656" s="87"/>
      <c r="T656" s="87"/>
      <c r="U656" s="87"/>
      <c r="V656" s="87"/>
      <c r="W656" s="87"/>
      <c r="X656" s="87"/>
      <c r="Y656" s="87"/>
      <c r="Z656" s="87"/>
    </row>
    <row r="657" spans="1:26" ht="15.75" customHeight="1">
      <c r="A657" s="87"/>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row>
    <row r="658" spans="1:26" ht="15.75" customHeight="1">
      <c r="A658" s="87"/>
      <c r="B658" s="87"/>
      <c r="C658" s="87"/>
      <c r="D658" s="87"/>
      <c r="E658" s="87"/>
      <c r="F658" s="87"/>
      <c r="G658" s="87"/>
      <c r="H658" s="87"/>
      <c r="I658" s="87"/>
      <c r="J658" s="87"/>
      <c r="K658" s="87"/>
      <c r="L658" s="87"/>
      <c r="M658" s="87"/>
      <c r="N658" s="87"/>
      <c r="O658" s="87"/>
      <c r="P658" s="87"/>
      <c r="Q658" s="87"/>
      <c r="R658" s="87"/>
      <c r="S658" s="87"/>
      <c r="T658" s="87"/>
      <c r="U658" s="87"/>
      <c r="V658" s="87"/>
      <c r="W658" s="87"/>
      <c r="X658" s="87"/>
      <c r="Y658" s="87"/>
      <c r="Z658" s="87"/>
    </row>
    <row r="659" spans="1:26" ht="15.75" customHeight="1">
      <c r="A659" s="87"/>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row>
    <row r="660" spans="1:26" ht="15.75" customHeight="1">
      <c r="A660" s="87"/>
      <c r="B660" s="87"/>
      <c r="C660" s="87"/>
      <c r="D660" s="87"/>
      <c r="E660" s="87"/>
      <c r="F660" s="87"/>
      <c r="G660" s="87"/>
      <c r="H660" s="87"/>
      <c r="I660" s="87"/>
      <c r="J660" s="87"/>
      <c r="K660" s="87"/>
      <c r="L660" s="87"/>
      <c r="M660" s="87"/>
      <c r="N660" s="87"/>
      <c r="O660" s="87"/>
      <c r="P660" s="87"/>
      <c r="Q660" s="87"/>
      <c r="R660" s="87"/>
      <c r="S660" s="87"/>
      <c r="T660" s="87"/>
      <c r="U660" s="87"/>
      <c r="V660" s="87"/>
      <c r="W660" s="87"/>
      <c r="X660" s="87"/>
      <c r="Y660" s="87"/>
      <c r="Z660" s="87"/>
    </row>
    <row r="661" spans="1:26" ht="15.75" customHeight="1">
      <c r="A661" s="87"/>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row>
    <row r="662" spans="1:26" ht="15.75" customHeight="1">
      <c r="A662" s="87"/>
      <c r="B662" s="87"/>
      <c r="C662" s="87"/>
      <c r="D662" s="87"/>
      <c r="E662" s="87"/>
      <c r="F662" s="87"/>
      <c r="G662" s="87"/>
      <c r="H662" s="87"/>
      <c r="I662" s="87"/>
      <c r="J662" s="87"/>
      <c r="K662" s="87"/>
      <c r="L662" s="87"/>
      <c r="M662" s="87"/>
      <c r="N662" s="87"/>
      <c r="O662" s="87"/>
      <c r="P662" s="87"/>
      <c r="Q662" s="87"/>
      <c r="R662" s="87"/>
      <c r="S662" s="87"/>
      <c r="T662" s="87"/>
      <c r="U662" s="87"/>
      <c r="V662" s="87"/>
      <c r="W662" s="87"/>
      <c r="X662" s="87"/>
      <c r="Y662" s="87"/>
      <c r="Z662" s="87"/>
    </row>
    <row r="663" spans="1:26" ht="15.75" customHeight="1">
      <c r="A663" s="87"/>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row>
    <row r="664" spans="1:26" ht="15.75" customHeight="1">
      <c r="A664" s="87"/>
      <c r="B664" s="87"/>
      <c r="C664" s="87"/>
      <c r="D664" s="87"/>
      <c r="E664" s="87"/>
      <c r="F664" s="87"/>
      <c r="G664" s="87"/>
      <c r="H664" s="87"/>
      <c r="I664" s="87"/>
      <c r="J664" s="87"/>
      <c r="K664" s="87"/>
      <c r="L664" s="87"/>
      <c r="M664" s="87"/>
      <c r="N664" s="87"/>
      <c r="O664" s="87"/>
      <c r="P664" s="87"/>
      <c r="Q664" s="87"/>
      <c r="R664" s="87"/>
      <c r="S664" s="87"/>
      <c r="T664" s="87"/>
      <c r="U664" s="87"/>
      <c r="V664" s="87"/>
      <c r="W664" s="87"/>
      <c r="X664" s="87"/>
      <c r="Y664" s="87"/>
      <c r="Z664" s="87"/>
    </row>
    <row r="665" spans="1:26" ht="15.75" customHeight="1">
      <c r="A665" s="87"/>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row>
    <row r="666" spans="1:26" ht="15.75" customHeight="1">
      <c r="A666" s="87"/>
      <c r="B666" s="87"/>
      <c r="C666" s="87"/>
      <c r="D666" s="87"/>
      <c r="E666" s="87"/>
      <c r="F666" s="87"/>
      <c r="G666" s="87"/>
      <c r="H666" s="87"/>
      <c r="I666" s="87"/>
      <c r="J666" s="87"/>
      <c r="K666" s="87"/>
      <c r="L666" s="87"/>
      <c r="M666" s="87"/>
      <c r="N666" s="87"/>
      <c r="O666" s="87"/>
      <c r="P666" s="87"/>
      <c r="Q666" s="87"/>
      <c r="R666" s="87"/>
      <c r="S666" s="87"/>
      <c r="T666" s="87"/>
      <c r="U666" s="87"/>
      <c r="V666" s="87"/>
      <c r="W666" s="87"/>
      <c r="X666" s="87"/>
      <c r="Y666" s="87"/>
      <c r="Z666" s="87"/>
    </row>
    <row r="667" spans="1:26" ht="15.75" customHeight="1">
      <c r="A667" s="87"/>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row>
    <row r="668" spans="1:26" ht="15.75" customHeight="1">
      <c r="A668" s="87"/>
      <c r="B668" s="87"/>
      <c r="C668" s="87"/>
      <c r="D668" s="87"/>
      <c r="E668" s="87"/>
      <c r="F668" s="87"/>
      <c r="G668" s="87"/>
      <c r="H668" s="87"/>
      <c r="I668" s="87"/>
      <c r="J668" s="87"/>
      <c r="K668" s="87"/>
      <c r="L668" s="87"/>
      <c r="M668" s="87"/>
      <c r="N668" s="87"/>
      <c r="O668" s="87"/>
      <c r="P668" s="87"/>
      <c r="Q668" s="87"/>
      <c r="R668" s="87"/>
      <c r="S668" s="87"/>
      <c r="T668" s="87"/>
      <c r="U668" s="87"/>
      <c r="V668" s="87"/>
      <c r="W668" s="87"/>
      <c r="X668" s="87"/>
      <c r="Y668" s="87"/>
      <c r="Z668" s="87"/>
    </row>
    <row r="669" spans="1:26" ht="15.75" customHeight="1">
      <c r="A669" s="87"/>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row>
    <row r="670" spans="1:26" ht="15.75" customHeight="1">
      <c r="A670" s="87"/>
      <c r="B670" s="87"/>
      <c r="C670" s="87"/>
      <c r="D670" s="87"/>
      <c r="E670" s="87"/>
      <c r="F670" s="87"/>
      <c r="G670" s="87"/>
      <c r="H670" s="87"/>
      <c r="I670" s="87"/>
      <c r="J670" s="87"/>
      <c r="K670" s="87"/>
      <c r="L670" s="87"/>
      <c r="M670" s="87"/>
      <c r="N670" s="87"/>
      <c r="O670" s="87"/>
      <c r="P670" s="87"/>
      <c r="Q670" s="87"/>
      <c r="R670" s="87"/>
      <c r="S670" s="87"/>
      <c r="T670" s="87"/>
      <c r="U670" s="87"/>
      <c r="V670" s="87"/>
      <c r="W670" s="87"/>
      <c r="X670" s="87"/>
      <c r="Y670" s="87"/>
      <c r="Z670" s="87"/>
    </row>
    <row r="671" spans="1:26" ht="15.75" customHeight="1">
      <c r="A671" s="87"/>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row>
    <row r="672" spans="1:26" ht="15.75" customHeight="1">
      <c r="A672" s="87"/>
      <c r="B672" s="87"/>
      <c r="C672" s="87"/>
      <c r="D672" s="87"/>
      <c r="E672" s="87"/>
      <c r="F672" s="87"/>
      <c r="G672" s="87"/>
      <c r="H672" s="87"/>
      <c r="I672" s="87"/>
      <c r="J672" s="87"/>
      <c r="K672" s="87"/>
      <c r="L672" s="87"/>
      <c r="M672" s="87"/>
      <c r="N672" s="87"/>
      <c r="O672" s="87"/>
      <c r="P672" s="87"/>
      <c r="Q672" s="87"/>
      <c r="R672" s="87"/>
      <c r="S672" s="87"/>
      <c r="T672" s="87"/>
      <c r="U672" s="87"/>
      <c r="V672" s="87"/>
      <c r="W672" s="87"/>
      <c r="X672" s="87"/>
      <c r="Y672" s="87"/>
      <c r="Z672" s="87"/>
    </row>
    <row r="673" spans="1:26" ht="15.75" customHeight="1">
      <c r="A673" s="87"/>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row>
    <row r="674" spans="1:26" ht="15.75" customHeight="1">
      <c r="A674" s="87"/>
      <c r="B674" s="87"/>
      <c r="C674" s="87"/>
      <c r="D674" s="87"/>
      <c r="E674" s="87"/>
      <c r="F674" s="87"/>
      <c r="G674" s="87"/>
      <c r="H674" s="87"/>
      <c r="I674" s="87"/>
      <c r="J674" s="87"/>
      <c r="K674" s="87"/>
      <c r="L674" s="87"/>
      <c r="M674" s="87"/>
      <c r="N674" s="87"/>
      <c r="O674" s="87"/>
      <c r="P674" s="87"/>
      <c r="Q674" s="87"/>
      <c r="R674" s="87"/>
      <c r="S674" s="87"/>
      <c r="T674" s="87"/>
      <c r="U674" s="87"/>
      <c r="V674" s="87"/>
      <c r="W674" s="87"/>
      <c r="X674" s="87"/>
      <c r="Y674" s="87"/>
      <c r="Z674" s="87"/>
    </row>
    <row r="675" spans="1:26" ht="15.75" customHeight="1">
      <c r="A675" s="87"/>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row>
    <row r="676" spans="1:26" ht="15.75" customHeight="1">
      <c r="A676" s="87"/>
      <c r="B676" s="87"/>
      <c r="C676" s="87"/>
      <c r="D676" s="87"/>
      <c r="E676" s="87"/>
      <c r="F676" s="87"/>
      <c r="G676" s="87"/>
      <c r="H676" s="87"/>
      <c r="I676" s="87"/>
      <c r="J676" s="87"/>
      <c r="K676" s="87"/>
      <c r="L676" s="87"/>
      <c r="M676" s="87"/>
      <c r="N676" s="87"/>
      <c r="O676" s="87"/>
      <c r="P676" s="87"/>
      <c r="Q676" s="87"/>
      <c r="R676" s="87"/>
      <c r="S676" s="87"/>
      <c r="T676" s="87"/>
      <c r="U676" s="87"/>
      <c r="V676" s="87"/>
      <c r="W676" s="87"/>
      <c r="X676" s="87"/>
      <c r="Y676" s="87"/>
      <c r="Z676" s="87"/>
    </row>
    <row r="677" spans="1:26" ht="15.75" customHeight="1">
      <c r="A677" s="87"/>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row>
    <row r="678" spans="1:26" ht="15.75" customHeight="1">
      <c r="A678" s="87"/>
      <c r="B678" s="87"/>
      <c r="C678" s="87"/>
      <c r="D678" s="87"/>
      <c r="E678" s="87"/>
      <c r="F678" s="87"/>
      <c r="G678" s="87"/>
      <c r="H678" s="87"/>
      <c r="I678" s="87"/>
      <c r="J678" s="87"/>
      <c r="K678" s="87"/>
      <c r="L678" s="87"/>
      <c r="M678" s="87"/>
      <c r="N678" s="87"/>
      <c r="O678" s="87"/>
      <c r="P678" s="87"/>
      <c r="Q678" s="87"/>
      <c r="R678" s="87"/>
      <c r="S678" s="87"/>
      <c r="T678" s="87"/>
      <c r="U678" s="87"/>
      <c r="V678" s="87"/>
      <c r="W678" s="87"/>
      <c r="X678" s="87"/>
      <c r="Y678" s="87"/>
      <c r="Z678" s="87"/>
    </row>
    <row r="679" spans="1:26" ht="15.75" customHeight="1">
      <c r="A679" s="87"/>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row>
    <row r="680" spans="1:26" ht="15.75" customHeight="1">
      <c r="A680" s="87"/>
      <c r="B680" s="87"/>
      <c r="C680" s="87"/>
      <c r="D680" s="87"/>
      <c r="E680" s="87"/>
      <c r="F680" s="87"/>
      <c r="G680" s="87"/>
      <c r="H680" s="87"/>
      <c r="I680" s="87"/>
      <c r="J680" s="87"/>
      <c r="K680" s="87"/>
      <c r="L680" s="87"/>
      <c r="M680" s="87"/>
      <c r="N680" s="87"/>
      <c r="O680" s="87"/>
      <c r="P680" s="87"/>
      <c r="Q680" s="87"/>
      <c r="R680" s="87"/>
      <c r="S680" s="87"/>
      <c r="T680" s="87"/>
      <c r="U680" s="87"/>
      <c r="V680" s="87"/>
      <c r="W680" s="87"/>
      <c r="X680" s="87"/>
      <c r="Y680" s="87"/>
      <c r="Z680" s="87"/>
    </row>
    <row r="681" spans="1:26" ht="15.75" customHeight="1">
      <c r="A681" s="87"/>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row>
    <row r="682" spans="1:26" ht="15.75" customHeight="1">
      <c r="A682" s="87"/>
      <c r="B682" s="87"/>
      <c r="C682" s="87"/>
      <c r="D682" s="87"/>
      <c r="E682" s="87"/>
      <c r="F682" s="87"/>
      <c r="G682" s="87"/>
      <c r="H682" s="87"/>
      <c r="I682" s="87"/>
      <c r="J682" s="87"/>
      <c r="K682" s="87"/>
      <c r="L682" s="87"/>
      <c r="M682" s="87"/>
      <c r="N682" s="87"/>
      <c r="O682" s="87"/>
      <c r="P682" s="87"/>
      <c r="Q682" s="87"/>
      <c r="R682" s="87"/>
      <c r="S682" s="87"/>
      <c r="T682" s="87"/>
      <c r="U682" s="87"/>
      <c r="V682" s="87"/>
      <c r="W682" s="87"/>
      <c r="X682" s="87"/>
      <c r="Y682" s="87"/>
      <c r="Z682" s="87"/>
    </row>
    <row r="683" spans="1:26" ht="15.75" customHeight="1">
      <c r="A683" s="87"/>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row>
    <row r="684" spans="1:26" ht="15.75" customHeight="1">
      <c r="A684" s="87"/>
      <c r="B684" s="87"/>
      <c r="C684" s="87"/>
      <c r="D684" s="87"/>
      <c r="E684" s="87"/>
      <c r="F684" s="87"/>
      <c r="G684" s="87"/>
      <c r="H684" s="87"/>
      <c r="I684" s="87"/>
      <c r="J684" s="87"/>
      <c r="K684" s="87"/>
      <c r="L684" s="87"/>
      <c r="M684" s="87"/>
      <c r="N684" s="87"/>
      <c r="O684" s="87"/>
      <c r="P684" s="87"/>
      <c r="Q684" s="87"/>
      <c r="R684" s="87"/>
      <c r="S684" s="87"/>
      <c r="T684" s="87"/>
      <c r="U684" s="87"/>
      <c r="V684" s="87"/>
      <c r="W684" s="87"/>
      <c r="X684" s="87"/>
      <c r="Y684" s="87"/>
      <c r="Z684" s="87"/>
    </row>
    <row r="685" spans="1:26" ht="15.75" customHeight="1">
      <c r="A685" s="87"/>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row>
    <row r="686" spans="1:26" ht="15.75" customHeight="1">
      <c r="A686" s="87"/>
      <c r="B686" s="87"/>
      <c r="C686" s="87"/>
      <c r="D686" s="87"/>
      <c r="E686" s="87"/>
      <c r="F686" s="87"/>
      <c r="G686" s="87"/>
      <c r="H686" s="87"/>
      <c r="I686" s="87"/>
      <c r="J686" s="87"/>
      <c r="K686" s="87"/>
      <c r="L686" s="87"/>
      <c r="M686" s="87"/>
      <c r="N686" s="87"/>
      <c r="O686" s="87"/>
      <c r="P686" s="87"/>
      <c r="Q686" s="87"/>
      <c r="R686" s="87"/>
      <c r="S686" s="87"/>
      <c r="T686" s="87"/>
      <c r="U686" s="87"/>
      <c r="V686" s="87"/>
      <c r="W686" s="87"/>
      <c r="X686" s="87"/>
      <c r="Y686" s="87"/>
      <c r="Z686" s="87"/>
    </row>
    <row r="687" spans="1:26" ht="15.75" customHeight="1">
      <c r="A687" s="87"/>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row>
    <row r="688" spans="1:26" ht="15.75" customHeight="1">
      <c r="A688" s="87"/>
      <c r="B688" s="87"/>
      <c r="C688" s="87"/>
      <c r="D688" s="87"/>
      <c r="E688" s="87"/>
      <c r="F688" s="87"/>
      <c r="G688" s="87"/>
      <c r="H688" s="87"/>
      <c r="I688" s="87"/>
      <c r="J688" s="87"/>
      <c r="K688" s="87"/>
      <c r="L688" s="87"/>
      <c r="M688" s="87"/>
      <c r="N688" s="87"/>
      <c r="O688" s="87"/>
      <c r="P688" s="87"/>
      <c r="Q688" s="87"/>
      <c r="R688" s="87"/>
      <c r="S688" s="87"/>
      <c r="T688" s="87"/>
      <c r="U688" s="87"/>
      <c r="V688" s="87"/>
      <c r="W688" s="87"/>
      <c r="X688" s="87"/>
      <c r="Y688" s="87"/>
      <c r="Z688" s="87"/>
    </row>
    <row r="689" spans="1:26" ht="15.75" customHeight="1">
      <c r="A689" s="87"/>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row>
    <row r="690" spans="1:26" ht="15.75" customHeight="1">
      <c r="A690" s="87"/>
      <c r="B690" s="87"/>
      <c r="C690" s="87"/>
      <c r="D690" s="87"/>
      <c r="E690" s="87"/>
      <c r="F690" s="87"/>
      <c r="G690" s="87"/>
      <c r="H690" s="87"/>
      <c r="I690" s="87"/>
      <c r="J690" s="87"/>
      <c r="K690" s="87"/>
      <c r="L690" s="87"/>
      <c r="M690" s="87"/>
      <c r="N690" s="87"/>
      <c r="O690" s="87"/>
      <c r="P690" s="87"/>
      <c r="Q690" s="87"/>
      <c r="R690" s="87"/>
      <c r="S690" s="87"/>
      <c r="T690" s="87"/>
      <c r="U690" s="87"/>
      <c r="V690" s="87"/>
      <c r="W690" s="87"/>
      <c r="X690" s="87"/>
      <c r="Y690" s="87"/>
      <c r="Z690" s="87"/>
    </row>
    <row r="691" spans="1:26" ht="15.75" customHeight="1">
      <c r="A691" s="87"/>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row>
    <row r="692" spans="1:26" ht="15.75" customHeight="1">
      <c r="A692" s="87"/>
      <c r="B692" s="87"/>
      <c r="C692" s="87"/>
      <c r="D692" s="87"/>
      <c r="E692" s="87"/>
      <c r="F692" s="87"/>
      <c r="G692" s="87"/>
      <c r="H692" s="87"/>
      <c r="I692" s="87"/>
      <c r="J692" s="87"/>
      <c r="K692" s="87"/>
      <c r="L692" s="87"/>
      <c r="M692" s="87"/>
      <c r="N692" s="87"/>
      <c r="O692" s="87"/>
      <c r="P692" s="87"/>
      <c r="Q692" s="87"/>
      <c r="R692" s="87"/>
      <c r="S692" s="87"/>
      <c r="T692" s="87"/>
      <c r="U692" s="87"/>
      <c r="V692" s="87"/>
      <c r="W692" s="87"/>
      <c r="X692" s="87"/>
      <c r="Y692" s="87"/>
      <c r="Z692" s="87"/>
    </row>
    <row r="693" spans="1:26" ht="15.75" customHeight="1">
      <c r="A693" s="87"/>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row>
    <row r="694" spans="1:26" ht="15.75" customHeight="1">
      <c r="A694" s="87"/>
      <c r="B694" s="87"/>
      <c r="C694" s="87"/>
      <c r="D694" s="87"/>
      <c r="E694" s="87"/>
      <c r="F694" s="87"/>
      <c r="G694" s="87"/>
      <c r="H694" s="87"/>
      <c r="I694" s="87"/>
      <c r="J694" s="87"/>
      <c r="K694" s="87"/>
      <c r="L694" s="87"/>
      <c r="M694" s="87"/>
      <c r="N694" s="87"/>
      <c r="O694" s="87"/>
      <c r="P694" s="87"/>
      <c r="Q694" s="87"/>
      <c r="R694" s="87"/>
      <c r="S694" s="87"/>
      <c r="T694" s="87"/>
      <c r="U694" s="87"/>
      <c r="V694" s="87"/>
      <c r="W694" s="87"/>
      <c r="X694" s="87"/>
      <c r="Y694" s="87"/>
      <c r="Z694" s="87"/>
    </row>
    <row r="695" spans="1:26" ht="15.75" customHeight="1">
      <c r="A695" s="87"/>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row>
    <row r="696" spans="1:26" ht="15.75" customHeight="1">
      <c r="A696" s="87"/>
      <c r="B696" s="87"/>
      <c r="C696" s="87"/>
      <c r="D696" s="87"/>
      <c r="E696" s="87"/>
      <c r="F696" s="87"/>
      <c r="G696" s="87"/>
      <c r="H696" s="87"/>
      <c r="I696" s="87"/>
      <c r="J696" s="87"/>
      <c r="K696" s="87"/>
      <c r="L696" s="87"/>
      <c r="M696" s="87"/>
      <c r="N696" s="87"/>
      <c r="O696" s="87"/>
      <c r="P696" s="87"/>
      <c r="Q696" s="87"/>
      <c r="R696" s="87"/>
      <c r="S696" s="87"/>
      <c r="T696" s="87"/>
      <c r="U696" s="87"/>
      <c r="V696" s="87"/>
      <c r="W696" s="87"/>
      <c r="X696" s="87"/>
      <c r="Y696" s="87"/>
      <c r="Z696" s="87"/>
    </row>
    <row r="697" spans="1:26" ht="15.75" customHeight="1">
      <c r="A697" s="87"/>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row>
    <row r="698" spans="1:26" ht="15.75" customHeight="1">
      <c r="A698" s="87"/>
      <c r="B698" s="87"/>
      <c r="C698" s="87"/>
      <c r="D698" s="87"/>
      <c r="E698" s="87"/>
      <c r="F698" s="87"/>
      <c r="G698" s="87"/>
      <c r="H698" s="87"/>
      <c r="I698" s="87"/>
      <c r="J698" s="87"/>
      <c r="K698" s="87"/>
      <c r="L698" s="87"/>
      <c r="M698" s="87"/>
      <c r="N698" s="87"/>
      <c r="O698" s="87"/>
      <c r="P698" s="87"/>
      <c r="Q698" s="87"/>
      <c r="R698" s="87"/>
      <c r="S698" s="87"/>
      <c r="T698" s="87"/>
      <c r="U698" s="87"/>
      <c r="V698" s="87"/>
      <c r="W698" s="87"/>
      <c r="X698" s="87"/>
      <c r="Y698" s="87"/>
      <c r="Z698" s="87"/>
    </row>
    <row r="699" spans="1:26" ht="15.75" customHeight="1">
      <c r="A699" s="87"/>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row>
    <row r="700" spans="1:26" ht="15.75" customHeight="1">
      <c r="A700" s="87"/>
      <c r="B700" s="87"/>
      <c r="C700" s="87"/>
      <c r="D700" s="87"/>
      <c r="E700" s="87"/>
      <c r="F700" s="87"/>
      <c r="G700" s="87"/>
      <c r="H700" s="87"/>
      <c r="I700" s="87"/>
      <c r="J700" s="87"/>
      <c r="K700" s="87"/>
      <c r="L700" s="87"/>
      <c r="M700" s="87"/>
      <c r="N700" s="87"/>
      <c r="O700" s="87"/>
      <c r="P700" s="87"/>
      <c r="Q700" s="87"/>
      <c r="R700" s="87"/>
      <c r="S700" s="87"/>
      <c r="T700" s="87"/>
      <c r="U700" s="87"/>
      <c r="V700" s="87"/>
      <c r="W700" s="87"/>
      <c r="X700" s="87"/>
      <c r="Y700" s="87"/>
      <c r="Z700" s="87"/>
    </row>
    <row r="701" spans="1:26" ht="15.75" customHeight="1">
      <c r="A701" s="87"/>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row>
    <row r="702" spans="1:26" ht="15.75" customHeight="1">
      <c r="A702" s="87"/>
      <c r="B702" s="87"/>
      <c r="C702" s="87"/>
      <c r="D702" s="87"/>
      <c r="E702" s="87"/>
      <c r="F702" s="87"/>
      <c r="G702" s="87"/>
      <c r="H702" s="87"/>
      <c r="I702" s="87"/>
      <c r="J702" s="87"/>
      <c r="K702" s="87"/>
      <c r="L702" s="87"/>
      <c r="M702" s="87"/>
      <c r="N702" s="87"/>
      <c r="O702" s="87"/>
      <c r="P702" s="87"/>
      <c r="Q702" s="87"/>
      <c r="R702" s="87"/>
      <c r="S702" s="87"/>
      <c r="T702" s="87"/>
      <c r="U702" s="87"/>
      <c r="V702" s="87"/>
      <c r="W702" s="87"/>
      <c r="X702" s="87"/>
      <c r="Y702" s="87"/>
      <c r="Z702" s="87"/>
    </row>
    <row r="703" spans="1:26" ht="15.75" customHeight="1">
      <c r="A703" s="87"/>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row>
    <row r="704" spans="1:26" ht="15.75" customHeight="1">
      <c r="A704" s="87"/>
      <c r="B704" s="87"/>
      <c r="C704" s="87"/>
      <c r="D704" s="87"/>
      <c r="E704" s="87"/>
      <c r="F704" s="87"/>
      <c r="G704" s="87"/>
      <c r="H704" s="87"/>
      <c r="I704" s="87"/>
      <c r="J704" s="87"/>
      <c r="K704" s="87"/>
      <c r="L704" s="87"/>
      <c r="M704" s="87"/>
      <c r="N704" s="87"/>
      <c r="O704" s="87"/>
      <c r="P704" s="87"/>
      <c r="Q704" s="87"/>
      <c r="R704" s="87"/>
      <c r="S704" s="87"/>
      <c r="T704" s="87"/>
      <c r="U704" s="87"/>
      <c r="V704" s="87"/>
      <c r="W704" s="87"/>
      <c r="X704" s="87"/>
      <c r="Y704" s="87"/>
      <c r="Z704" s="87"/>
    </row>
    <row r="705" spans="1:26" ht="15.75" customHeight="1">
      <c r="A705" s="87"/>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row>
    <row r="706" spans="1:26" ht="15.75" customHeight="1">
      <c r="A706" s="87"/>
      <c r="B706" s="87"/>
      <c r="C706" s="87"/>
      <c r="D706" s="87"/>
      <c r="E706" s="87"/>
      <c r="F706" s="87"/>
      <c r="G706" s="87"/>
      <c r="H706" s="87"/>
      <c r="I706" s="87"/>
      <c r="J706" s="87"/>
      <c r="K706" s="87"/>
      <c r="L706" s="87"/>
      <c r="M706" s="87"/>
      <c r="N706" s="87"/>
      <c r="O706" s="87"/>
      <c r="P706" s="87"/>
      <c r="Q706" s="87"/>
      <c r="R706" s="87"/>
      <c r="S706" s="87"/>
      <c r="T706" s="87"/>
      <c r="U706" s="87"/>
      <c r="V706" s="87"/>
      <c r="W706" s="87"/>
      <c r="X706" s="87"/>
      <c r="Y706" s="87"/>
      <c r="Z706" s="87"/>
    </row>
    <row r="707" spans="1:26" ht="15.75" customHeight="1">
      <c r="A707" s="87"/>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row>
    <row r="708" spans="1:26" ht="15.75" customHeight="1">
      <c r="A708" s="87"/>
      <c r="B708" s="87"/>
      <c r="C708" s="87"/>
      <c r="D708" s="87"/>
      <c r="E708" s="87"/>
      <c r="F708" s="87"/>
      <c r="G708" s="87"/>
      <c r="H708" s="87"/>
      <c r="I708" s="87"/>
      <c r="J708" s="87"/>
      <c r="K708" s="87"/>
      <c r="L708" s="87"/>
      <c r="M708" s="87"/>
      <c r="N708" s="87"/>
      <c r="O708" s="87"/>
      <c r="P708" s="87"/>
      <c r="Q708" s="87"/>
      <c r="R708" s="87"/>
      <c r="S708" s="87"/>
      <c r="T708" s="87"/>
      <c r="U708" s="87"/>
      <c r="V708" s="87"/>
      <c r="W708" s="87"/>
      <c r="X708" s="87"/>
      <c r="Y708" s="87"/>
      <c r="Z708" s="87"/>
    </row>
    <row r="709" spans="1:26" ht="15.75" customHeight="1">
      <c r="A709" s="87"/>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row>
    <row r="710" spans="1:26" ht="15.75" customHeight="1">
      <c r="A710" s="87"/>
      <c r="B710" s="87"/>
      <c r="C710" s="87"/>
      <c r="D710" s="87"/>
      <c r="E710" s="87"/>
      <c r="F710" s="87"/>
      <c r="G710" s="87"/>
      <c r="H710" s="87"/>
      <c r="I710" s="87"/>
      <c r="J710" s="87"/>
      <c r="K710" s="87"/>
      <c r="L710" s="87"/>
      <c r="M710" s="87"/>
      <c r="N710" s="87"/>
      <c r="O710" s="87"/>
      <c r="P710" s="87"/>
      <c r="Q710" s="87"/>
      <c r="R710" s="87"/>
      <c r="S710" s="87"/>
      <c r="T710" s="87"/>
      <c r="U710" s="87"/>
      <c r="V710" s="87"/>
      <c r="W710" s="87"/>
      <c r="X710" s="87"/>
      <c r="Y710" s="87"/>
      <c r="Z710" s="87"/>
    </row>
    <row r="711" spans="1:26" ht="15.75" customHeight="1">
      <c r="A711" s="87"/>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row>
    <row r="712" spans="1:26" ht="15.75" customHeight="1">
      <c r="A712" s="87"/>
      <c r="B712" s="87"/>
      <c r="C712" s="87"/>
      <c r="D712" s="87"/>
      <c r="E712" s="87"/>
      <c r="F712" s="87"/>
      <c r="G712" s="87"/>
      <c r="H712" s="87"/>
      <c r="I712" s="87"/>
      <c r="J712" s="87"/>
      <c r="K712" s="87"/>
      <c r="L712" s="87"/>
      <c r="M712" s="87"/>
      <c r="N712" s="87"/>
      <c r="O712" s="87"/>
      <c r="P712" s="87"/>
      <c r="Q712" s="87"/>
      <c r="R712" s="87"/>
      <c r="S712" s="87"/>
      <c r="T712" s="87"/>
      <c r="U712" s="87"/>
      <c r="V712" s="87"/>
      <c r="W712" s="87"/>
      <c r="X712" s="87"/>
      <c r="Y712" s="87"/>
      <c r="Z712" s="87"/>
    </row>
    <row r="713" spans="1:26" ht="15.75" customHeight="1">
      <c r="A713" s="87"/>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row>
    <row r="714" spans="1:26" ht="15.75" customHeight="1">
      <c r="A714" s="87"/>
      <c r="B714" s="87"/>
      <c r="C714" s="87"/>
      <c r="D714" s="87"/>
      <c r="E714" s="87"/>
      <c r="F714" s="87"/>
      <c r="G714" s="87"/>
      <c r="H714" s="87"/>
      <c r="I714" s="87"/>
      <c r="J714" s="87"/>
      <c r="K714" s="87"/>
      <c r="L714" s="87"/>
      <c r="M714" s="87"/>
      <c r="N714" s="87"/>
      <c r="O714" s="87"/>
      <c r="P714" s="87"/>
      <c r="Q714" s="87"/>
      <c r="R714" s="87"/>
      <c r="S714" s="87"/>
      <c r="T714" s="87"/>
      <c r="U714" s="87"/>
      <c r="V714" s="87"/>
      <c r="W714" s="87"/>
      <c r="X714" s="87"/>
      <c r="Y714" s="87"/>
      <c r="Z714" s="87"/>
    </row>
    <row r="715" spans="1:26" ht="15.75" customHeight="1">
      <c r="A715" s="87"/>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row>
    <row r="716" spans="1:26" ht="15.75" customHeight="1">
      <c r="A716" s="87"/>
      <c r="B716" s="87"/>
      <c r="C716" s="87"/>
      <c r="D716" s="87"/>
      <c r="E716" s="87"/>
      <c r="F716" s="87"/>
      <c r="G716" s="87"/>
      <c r="H716" s="87"/>
      <c r="I716" s="87"/>
      <c r="J716" s="87"/>
      <c r="K716" s="87"/>
      <c r="L716" s="87"/>
      <c r="M716" s="87"/>
      <c r="N716" s="87"/>
      <c r="O716" s="87"/>
      <c r="P716" s="87"/>
      <c r="Q716" s="87"/>
      <c r="R716" s="87"/>
      <c r="S716" s="87"/>
      <c r="T716" s="87"/>
      <c r="U716" s="87"/>
      <c r="V716" s="87"/>
      <c r="W716" s="87"/>
      <c r="X716" s="87"/>
      <c r="Y716" s="87"/>
      <c r="Z716" s="87"/>
    </row>
    <row r="717" spans="1:26" ht="15.75" customHeight="1">
      <c r="A717" s="87"/>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row>
    <row r="718" spans="1:26" ht="15.75" customHeight="1">
      <c r="A718" s="87"/>
      <c r="B718" s="87"/>
      <c r="C718" s="87"/>
      <c r="D718" s="87"/>
      <c r="E718" s="87"/>
      <c r="F718" s="87"/>
      <c r="G718" s="87"/>
      <c r="H718" s="87"/>
      <c r="I718" s="87"/>
      <c r="J718" s="87"/>
      <c r="K718" s="87"/>
      <c r="L718" s="87"/>
      <c r="M718" s="87"/>
      <c r="N718" s="87"/>
      <c r="O718" s="87"/>
      <c r="P718" s="87"/>
      <c r="Q718" s="87"/>
      <c r="R718" s="87"/>
      <c r="S718" s="87"/>
      <c r="T718" s="87"/>
      <c r="U718" s="87"/>
      <c r="V718" s="87"/>
      <c r="W718" s="87"/>
      <c r="X718" s="87"/>
      <c r="Y718" s="87"/>
      <c r="Z718" s="87"/>
    </row>
    <row r="719" spans="1:26" ht="15.75" customHeight="1">
      <c r="A719" s="87"/>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row>
    <row r="720" spans="1:26" ht="15.75" customHeight="1">
      <c r="A720" s="87"/>
      <c r="B720" s="87"/>
      <c r="C720" s="87"/>
      <c r="D720" s="87"/>
      <c r="E720" s="87"/>
      <c r="F720" s="87"/>
      <c r="G720" s="87"/>
      <c r="H720" s="87"/>
      <c r="I720" s="87"/>
      <c r="J720" s="87"/>
      <c r="K720" s="87"/>
      <c r="L720" s="87"/>
      <c r="M720" s="87"/>
      <c r="N720" s="87"/>
      <c r="O720" s="87"/>
      <c r="P720" s="87"/>
      <c r="Q720" s="87"/>
      <c r="R720" s="87"/>
      <c r="S720" s="87"/>
      <c r="T720" s="87"/>
      <c r="U720" s="87"/>
      <c r="V720" s="87"/>
      <c r="W720" s="87"/>
      <c r="X720" s="87"/>
      <c r="Y720" s="87"/>
      <c r="Z720" s="87"/>
    </row>
    <row r="721" spans="1:26" ht="15.75" customHeight="1">
      <c r="A721" s="87"/>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row>
    <row r="722" spans="1:26" ht="15.75" customHeight="1">
      <c r="A722" s="87"/>
      <c r="B722" s="87"/>
      <c r="C722" s="87"/>
      <c r="D722" s="87"/>
      <c r="E722" s="87"/>
      <c r="F722" s="87"/>
      <c r="G722" s="87"/>
      <c r="H722" s="87"/>
      <c r="I722" s="87"/>
      <c r="J722" s="87"/>
      <c r="K722" s="87"/>
      <c r="L722" s="87"/>
      <c r="M722" s="87"/>
      <c r="N722" s="87"/>
      <c r="O722" s="87"/>
      <c r="P722" s="87"/>
      <c r="Q722" s="87"/>
      <c r="R722" s="87"/>
      <c r="S722" s="87"/>
      <c r="T722" s="87"/>
      <c r="U722" s="87"/>
      <c r="V722" s="87"/>
      <c r="W722" s="87"/>
      <c r="X722" s="87"/>
      <c r="Y722" s="87"/>
      <c r="Z722" s="87"/>
    </row>
    <row r="723" spans="1:26" ht="15.75" customHeight="1">
      <c r="A723" s="87"/>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row>
    <row r="724" spans="1:26" ht="15.75" customHeight="1">
      <c r="A724" s="87"/>
      <c r="B724" s="87"/>
      <c r="C724" s="87"/>
      <c r="D724" s="87"/>
      <c r="E724" s="87"/>
      <c r="F724" s="87"/>
      <c r="G724" s="87"/>
      <c r="H724" s="87"/>
      <c r="I724" s="87"/>
      <c r="J724" s="87"/>
      <c r="K724" s="87"/>
      <c r="L724" s="87"/>
      <c r="M724" s="87"/>
      <c r="N724" s="87"/>
      <c r="O724" s="87"/>
      <c r="P724" s="87"/>
      <c r="Q724" s="87"/>
      <c r="R724" s="87"/>
      <c r="S724" s="87"/>
      <c r="T724" s="87"/>
      <c r="U724" s="87"/>
      <c r="V724" s="87"/>
      <c r="W724" s="87"/>
      <c r="X724" s="87"/>
      <c r="Y724" s="87"/>
      <c r="Z724" s="87"/>
    </row>
    <row r="725" spans="1:26" ht="15.75" customHeight="1">
      <c r="A725" s="87"/>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row>
    <row r="726" spans="1:26" ht="15.75" customHeight="1">
      <c r="A726" s="87"/>
      <c r="B726" s="87"/>
      <c r="C726" s="87"/>
      <c r="D726" s="87"/>
      <c r="E726" s="87"/>
      <c r="F726" s="87"/>
      <c r="G726" s="87"/>
      <c r="H726" s="87"/>
      <c r="I726" s="87"/>
      <c r="J726" s="87"/>
      <c r="K726" s="87"/>
      <c r="L726" s="87"/>
      <c r="M726" s="87"/>
      <c r="N726" s="87"/>
      <c r="O726" s="87"/>
      <c r="P726" s="87"/>
      <c r="Q726" s="87"/>
      <c r="R726" s="87"/>
      <c r="S726" s="87"/>
      <c r="T726" s="87"/>
      <c r="U726" s="87"/>
      <c r="V726" s="87"/>
      <c r="W726" s="87"/>
      <c r="X726" s="87"/>
      <c r="Y726" s="87"/>
      <c r="Z726" s="87"/>
    </row>
    <row r="727" spans="1:26" ht="15.75" customHeight="1">
      <c r="A727" s="87"/>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row>
    <row r="728" spans="1:26" ht="15.75" customHeight="1">
      <c r="A728" s="87"/>
      <c r="B728" s="87"/>
      <c r="C728" s="87"/>
      <c r="D728" s="87"/>
      <c r="E728" s="87"/>
      <c r="F728" s="87"/>
      <c r="G728" s="87"/>
      <c r="H728" s="87"/>
      <c r="I728" s="87"/>
      <c r="J728" s="87"/>
      <c r="K728" s="87"/>
      <c r="L728" s="87"/>
      <c r="M728" s="87"/>
      <c r="N728" s="87"/>
      <c r="O728" s="87"/>
      <c r="P728" s="87"/>
      <c r="Q728" s="87"/>
      <c r="R728" s="87"/>
      <c r="S728" s="87"/>
      <c r="T728" s="87"/>
      <c r="U728" s="87"/>
      <c r="V728" s="87"/>
      <c r="W728" s="87"/>
      <c r="X728" s="87"/>
      <c r="Y728" s="87"/>
      <c r="Z728" s="87"/>
    </row>
    <row r="729" spans="1:26" ht="15.75" customHeight="1">
      <c r="A729" s="87"/>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row>
    <row r="730" spans="1:26" ht="15.75" customHeight="1">
      <c r="A730" s="87"/>
      <c r="B730" s="87"/>
      <c r="C730" s="87"/>
      <c r="D730" s="87"/>
      <c r="E730" s="87"/>
      <c r="F730" s="87"/>
      <c r="G730" s="87"/>
      <c r="H730" s="87"/>
      <c r="I730" s="87"/>
      <c r="J730" s="87"/>
      <c r="K730" s="87"/>
      <c r="L730" s="87"/>
      <c r="M730" s="87"/>
      <c r="N730" s="87"/>
      <c r="O730" s="87"/>
      <c r="P730" s="87"/>
      <c r="Q730" s="87"/>
      <c r="R730" s="87"/>
      <c r="S730" s="87"/>
      <c r="T730" s="87"/>
      <c r="U730" s="87"/>
      <c r="V730" s="87"/>
      <c r="W730" s="87"/>
      <c r="X730" s="87"/>
      <c r="Y730" s="87"/>
      <c r="Z730" s="87"/>
    </row>
    <row r="731" spans="1:26" ht="15.75" customHeight="1">
      <c r="A731" s="87"/>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row>
    <row r="732" spans="1:26" ht="15.75" customHeight="1">
      <c r="A732" s="87"/>
      <c r="B732" s="87"/>
      <c r="C732" s="87"/>
      <c r="D732" s="87"/>
      <c r="E732" s="87"/>
      <c r="F732" s="87"/>
      <c r="G732" s="87"/>
      <c r="H732" s="87"/>
      <c r="I732" s="87"/>
      <c r="J732" s="87"/>
      <c r="K732" s="87"/>
      <c r="L732" s="87"/>
      <c r="M732" s="87"/>
      <c r="N732" s="87"/>
      <c r="O732" s="87"/>
      <c r="P732" s="87"/>
      <c r="Q732" s="87"/>
      <c r="R732" s="87"/>
      <c r="S732" s="87"/>
      <c r="T732" s="87"/>
      <c r="U732" s="87"/>
      <c r="V732" s="87"/>
      <c r="W732" s="87"/>
      <c r="X732" s="87"/>
      <c r="Y732" s="87"/>
      <c r="Z732" s="87"/>
    </row>
    <row r="733" spans="1:26" ht="15.75" customHeight="1">
      <c r="A733" s="87"/>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row>
    <row r="734" spans="1:26" ht="15.75" customHeight="1">
      <c r="A734" s="87"/>
      <c r="B734" s="87"/>
      <c r="C734" s="87"/>
      <c r="D734" s="87"/>
      <c r="E734" s="87"/>
      <c r="F734" s="87"/>
      <c r="G734" s="87"/>
      <c r="H734" s="87"/>
      <c r="I734" s="87"/>
      <c r="J734" s="87"/>
      <c r="K734" s="87"/>
      <c r="L734" s="87"/>
      <c r="M734" s="87"/>
      <c r="N734" s="87"/>
      <c r="O734" s="87"/>
      <c r="P734" s="87"/>
      <c r="Q734" s="87"/>
      <c r="R734" s="87"/>
      <c r="S734" s="87"/>
      <c r="T734" s="87"/>
      <c r="U734" s="87"/>
      <c r="V734" s="87"/>
      <c r="W734" s="87"/>
      <c r="X734" s="87"/>
      <c r="Y734" s="87"/>
      <c r="Z734" s="87"/>
    </row>
    <row r="735" spans="1:26" ht="15.75" customHeight="1">
      <c r="A735" s="87"/>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row>
    <row r="736" spans="1:26" ht="15.75" customHeight="1">
      <c r="A736" s="87"/>
      <c r="B736" s="87"/>
      <c r="C736" s="87"/>
      <c r="D736" s="87"/>
      <c r="E736" s="87"/>
      <c r="F736" s="87"/>
      <c r="G736" s="87"/>
      <c r="H736" s="87"/>
      <c r="I736" s="87"/>
      <c r="J736" s="87"/>
      <c r="K736" s="87"/>
      <c r="L736" s="87"/>
      <c r="M736" s="87"/>
      <c r="N736" s="87"/>
      <c r="O736" s="87"/>
      <c r="P736" s="87"/>
      <c r="Q736" s="87"/>
      <c r="R736" s="87"/>
      <c r="S736" s="87"/>
      <c r="T736" s="87"/>
      <c r="U736" s="87"/>
      <c r="V736" s="87"/>
      <c r="W736" s="87"/>
      <c r="X736" s="87"/>
      <c r="Y736" s="87"/>
      <c r="Z736" s="87"/>
    </row>
    <row r="737" spans="1:26" ht="15.75" customHeight="1">
      <c r="A737" s="87"/>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row>
    <row r="738" spans="1:26" ht="15.75" customHeight="1">
      <c r="A738" s="87"/>
      <c r="B738" s="87"/>
      <c r="C738" s="87"/>
      <c r="D738" s="87"/>
      <c r="E738" s="87"/>
      <c r="F738" s="87"/>
      <c r="G738" s="87"/>
      <c r="H738" s="87"/>
      <c r="I738" s="87"/>
      <c r="J738" s="87"/>
      <c r="K738" s="87"/>
      <c r="L738" s="87"/>
      <c r="M738" s="87"/>
      <c r="N738" s="87"/>
      <c r="O738" s="87"/>
      <c r="P738" s="87"/>
      <c r="Q738" s="87"/>
      <c r="R738" s="87"/>
      <c r="S738" s="87"/>
      <c r="T738" s="87"/>
      <c r="U738" s="87"/>
      <c r="V738" s="87"/>
      <c r="W738" s="87"/>
      <c r="X738" s="87"/>
      <c r="Y738" s="87"/>
      <c r="Z738" s="87"/>
    </row>
    <row r="739" spans="1:26" ht="15.75" customHeight="1">
      <c r="A739" s="87"/>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row>
    <row r="740" spans="1:26" ht="15.75" customHeight="1">
      <c r="A740" s="87"/>
      <c r="B740" s="87"/>
      <c r="C740" s="87"/>
      <c r="D740" s="87"/>
      <c r="E740" s="87"/>
      <c r="F740" s="87"/>
      <c r="G740" s="87"/>
      <c r="H740" s="87"/>
      <c r="I740" s="87"/>
      <c r="J740" s="87"/>
      <c r="K740" s="87"/>
      <c r="L740" s="87"/>
      <c r="M740" s="87"/>
      <c r="N740" s="87"/>
      <c r="O740" s="87"/>
      <c r="P740" s="87"/>
      <c r="Q740" s="87"/>
      <c r="R740" s="87"/>
      <c r="S740" s="87"/>
      <c r="T740" s="87"/>
      <c r="U740" s="87"/>
      <c r="V740" s="87"/>
      <c r="W740" s="87"/>
      <c r="X740" s="87"/>
      <c r="Y740" s="87"/>
      <c r="Z740" s="87"/>
    </row>
    <row r="741" spans="1:26" ht="15.75" customHeight="1">
      <c r="A741" s="87"/>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row>
    <row r="742" spans="1:26" ht="15.75" customHeight="1">
      <c r="A742" s="87"/>
      <c r="B742" s="87"/>
      <c r="C742" s="87"/>
      <c r="D742" s="87"/>
      <c r="E742" s="87"/>
      <c r="F742" s="87"/>
      <c r="G742" s="87"/>
      <c r="H742" s="87"/>
      <c r="I742" s="87"/>
      <c r="J742" s="87"/>
      <c r="K742" s="87"/>
      <c r="L742" s="87"/>
      <c r="M742" s="87"/>
      <c r="N742" s="87"/>
      <c r="O742" s="87"/>
      <c r="P742" s="87"/>
      <c r="Q742" s="87"/>
      <c r="R742" s="87"/>
      <c r="S742" s="87"/>
      <c r="T742" s="87"/>
      <c r="U742" s="87"/>
      <c r="V742" s="87"/>
      <c r="W742" s="87"/>
      <c r="X742" s="87"/>
      <c r="Y742" s="87"/>
      <c r="Z742" s="87"/>
    </row>
    <row r="743" spans="1:26" ht="15.75" customHeight="1">
      <c r="A743" s="87"/>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row>
    <row r="744" spans="1:26" ht="15.75" customHeight="1">
      <c r="A744" s="87"/>
      <c r="B744" s="87"/>
      <c r="C744" s="87"/>
      <c r="D744" s="87"/>
      <c r="E744" s="87"/>
      <c r="F744" s="87"/>
      <c r="G744" s="87"/>
      <c r="H744" s="87"/>
      <c r="I744" s="87"/>
      <c r="J744" s="87"/>
      <c r="K744" s="87"/>
      <c r="L744" s="87"/>
      <c r="M744" s="87"/>
      <c r="N744" s="87"/>
      <c r="O744" s="87"/>
      <c r="P744" s="87"/>
      <c r="Q744" s="87"/>
      <c r="R744" s="87"/>
      <c r="S744" s="87"/>
      <c r="T744" s="87"/>
      <c r="U744" s="87"/>
      <c r="V744" s="87"/>
      <c r="W744" s="87"/>
      <c r="X744" s="87"/>
      <c r="Y744" s="87"/>
      <c r="Z744" s="87"/>
    </row>
    <row r="745" spans="1:26" ht="15.75" customHeight="1">
      <c r="A745" s="87"/>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row>
    <row r="746" spans="1:26" ht="15.75" customHeight="1">
      <c r="A746" s="87"/>
      <c r="B746" s="87"/>
      <c r="C746" s="87"/>
      <c r="D746" s="87"/>
      <c r="E746" s="87"/>
      <c r="F746" s="87"/>
      <c r="G746" s="87"/>
      <c r="H746" s="87"/>
      <c r="I746" s="87"/>
      <c r="J746" s="87"/>
      <c r="K746" s="87"/>
      <c r="L746" s="87"/>
      <c r="M746" s="87"/>
      <c r="N746" s="87"/>
      <c r="O746" s="87"/>
      <c r="P746" s="87"/>
      <c r="Q746" s="87"/>
      <c r="R746" s="87"/>
      <c r="S746" s="87"/>
      <c r="T746" s="87"/>
      <c r="U746" s="87"/>
      <c r="V746" s="87"/>
      <c r="W746" s="87"/>
      <c r="X746" s="87"/>
      <c r="Y746" s="87"/>
      <c r="Z746" s="87"/>
    </row>
    <row r="747" spans="1:26" ht="15.75" customHeight="1">
      <c r="A747" s="87"/>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row>
    <row r="748" spans="1:26" ht="15.75" customHeight="1">
      <c r="A748" s="87"/>
      <c r="B748" s="87"/>
      <c r="C748" s="87"/>
      <c r="D748" s="87"/>
      <c r="E748" s="87"/>
      <c r="F748" s="87"/>
      <c r="G748" s="87"/>
      <c r="H748" s="87"/>
      <c r="I748" s="87"/>
      <c r="J748" s="87"/>
      <c r="K748" s="87"/>
      <c r="L748" s="87"/>
      <c r="M748" s="87"/>
      <c r="N748" s="87"/>
      <c r="O748" s="87"/>
      <c r="P748" s="87"/>
      <c r="Q748" s="87"/>
      <c r="R748" s="87"/>
      <c r="S748" s="87"/>
      <c r="T748" s="87"/>
      <c r="U748" s="87"/>
      <c r="V748" s="87"/>
      <c r="W748" s="87"/>
      <c r="X748" s="87"/>
      <c r="Y748" s="87"/>
      <c r="Z748" s="87"/>
    </row>
    <row r="749" spans="1:26" ht="15.75" customHeight="1">
      <c r="A749" s="87"/>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row>
    <row r="750" spans="1:26" ht="15.75" customHeight="1">
      <c r="A750" s="87"/>
      <c r="B750" s="87"/>
      <c r="C750" s="87"/>
      <c r="D750" s="87"/>
      <c r="E750" s="87"/>
      <c r="F750" s="87"/>
      <c r="G750" s="87"/>
      <c r="H750" s="87"/>
      <c r="I750" s="87"/>
      <c r="J750" s="87"/>
      <c r="K750" s="87"/>
      <c r="L750" s="87"/>
      <c r="M750" s="87"/>
      <c r="N750" s="87"/>
      <c r="O750" s="87"/>
      <c r="P750" s="87"/>
      <c r="Q750" s="87"/>
      <c r="R750" s="87"/>
      <c r="S750" s="87"/>
      <c r="T750" s="87"/>
      <c r="U750" s="87"/>
      <c r="V750" s="87"/>
      <c r="W750" s="87"/>
      <c r="X750" s="87"/>
      <c r="Y750" s="87"/>
      <c r="Z750" s="87"/>
    </row>
    <row r="751" spans="1:26" ht="15.75" customHeight="1">
      <c r="A751" s="87"/>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row>
    <row r="752" spans="1:26" ht="15.75" customHeight="1">
      <c r="A752" s="87"/>
      <c r="B752" s="87"/>
      <c r="C752" s="87"/>
      <c r="D752" s="87"/>
      <c r="E752" s="87"/>
      <c r="F752" s="87"/>
      <c r="G752" s="87"/>
      <c r="H752" s="87"/>
      <c r="I752" s="87"/>
      <c r="J752" s="87"/>
      <c r="K752" s="87"/>
      <c r="L752" s="87"/>
      <c r="M752" s="87"/>
      <c r="N752" s="87"/>
      <c r="O752" s="87"/>
      <c r="P752" s="87"/>
      <c r="Q752" s="87"/>
      <c r="R752" s="87"/>
      <c r="S752" s="87"/>
      <c r="T752" s="87"/>
      <c r="U752" s="87"/>
      <c r="V752" s="87"/>
      <c r="W752" s="87"/>
      <c r="X752" s="87"/>
      <c r="Y752" s="87"/>
      <c r="Z752" s="87"/>
    </row>
    <row r="753" spans="1:26" ht="15.75" customHeight="1">
      <c r="A753" s="87"/>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row>
    <row r="754" spans="1:26" ht="15.75" customHeight="1">
      <c r="A754" s="87"/>
      <c r="B754" s="87"/>
      <c r="C754" s="87"/>
      <c r="D754" s="87"/>
      <c r="E754" s="87"/>
      <c r="F754" s="87"/>
      <c r="G754" s="87"/>
      <c r="H754" s="87"/>
      <c r="I754" s="87"/>
      <c r="J754" s="87"/>
      <c r="K754" s="87"/>
      <c r="L754" s="87"/>
      <c r="M754" s="87"/>
      <c r="N754" s="87"/>
      <c r="O754" s="87"/>
      <c r="P754" s="87"/>
      <c r="Q754" s="87"/>
      <c r="R754" s="87"/>
      <c r="S754" s="87"/>
      <c r="T754" s="87"/>
      <c r="U754" s="87"/>
      <c r="V754" s="87"/>
      <c r="W754" s="87"/>
      <c r="X754" s="87"/>
      <c r="Y754" s="87"/>
      <c r="Z754" s="87"/>
    </row>
    <row r="755" spans="1:26" ht="15.75" customHeight="1">
      <c r="A755" s="87"/>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row>
    <row r="756" spans="1:26" ht="15.75" customHeight="1">
      <c r="A756" s="87"/>
      <c r="B756" s="87"/>
      <c r="C756" s="87"/>
      <c r="D756" s="87"/>
      <c r="E756" s="87"/>
      <c r="F756" s="87"/>
      <c r="G756" s="87"/>
      <c r="H756" s="87"/>
      <c r="I756" s="87"/>
      <c r="J756" s="87"/>
      <c r="K756" s="87"/>
      <c r="L756" s="87"/>
      <c r="M756" s="87"/>
      <c r="N756" s="87"/>
      <c r="O756" s="87"/>
      <c r="P756" s="87"/>
      <c r="Q756" s="87"/>
      <c r="R756" s="87"/>
      <c r="S756" s="87"/>
      <c r="T756" s="87"/>
      <c r="U756" s="87"/>
      <c r="V756" s="87"/>
      <c r="W756" s="87"/>
      <c r="X756" s="87"/>
      <c r="Y756" s="87"/>
      <c r="Z756" s="87"/>
    </row>
    <row r="757" spans="1:26" ht="15.75" customHeight="1">
      <c r="A757" s="87"/>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row>
    <row r="758" spans="1:26" ht="15.75" customHeight="1">
      <c r="A758" s="87"/>
      <c r="B758" s="87"/>
      <c r="C758" s="87"/>
      <c r="D758" s="87"/>
      <c r="E758" s="87"/>
      <c r="F758" s="87"/>
      <c r="G758" s="87"/>
      <c r="H758" s="87"/>
      <c r="I758" s="87"/>
      <c r="J758" s="87"/>
      <c r="K758" s="87"/>
      <c r="L758" s="87"/>
      <c r="M758" s="87"/>
      <c r="N758" s="87"/>
      <c r="O758" s="87"/>
      <c r="P758" s="87"/>
      <c r="Q758" s="87"/>
      <c r="R758" s="87"/>
      <c r="S758" s="87"/>
      <c r="T758" s="87"/>
      <c r="U758" s="87"/>
      <c r="V758" s="87"/>
      <c r="W758" s="87"/>
      <c r="X758" s="87"/>
      <c r="Y758" s="87"/>
      <c r="Z758" s="87"/>
    </row>
    <row r="759" spans="1:26" ht="15.75" customHeight="1">
      <c r="A759" s="87"/>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row>
    <row r="760" spans="1:26" ht="15.75" customHeight="1">
      <c r="A760" s="87"/>
      <c r="B760" s="87"/>
      <c r="C760" s="87"/>
      <c r="D760" s="87"/>
      <c r="E760" s="87"/>
      <c r="F760" s="87"/>
      <c r="G760" s="87"/>
      <c r="H760" s="87"/>
      <c r="I760" s="87"/>
      <c r="J760" s="87"/>
      <c r="K760" s="87"/>
      <c r="L760" s="87"/>
      <c r="M760" s="87"/>
      <c r="N760" s="87"/>
      <c r="O760" s="87"/>
      <c r="P760" s="87"/>
      <c r="Q760" s="87"/>
      <c r="R760" s="87"/>
      <c r="S760" s="87"/>
      <c r="T760" s="87"/>
      <c r="U760" s="87"/>
      <c r="V760" s="87"/>
      <c r="W760" s="87"/>
      <c r="X760" s="87"/>
      <c r="Y760" s="87"/>
      <c r="Z760" s="87"/>
    </row>
    <row r="761" spans="1:26" ht="15.75" customHeight="1">
      <c r="A761" s="87"/>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row>
    <row r="762" spans="1:26" ht="15.75" customHeight="1">
      <c r="A762" s="87"/>
      <c r="B762" s="87"/>
      <c r="C762" s="87"/>
      <c r="D762" s="87"/>
      <c r="E762" s="87"/>
      <c r="F762" s="87"/>
      <c r="G762" s="87"/>
      <c r="H762" s="87"/>
      <c r="I762" s="87"/>
      <c r="J762" s="87"/>
      <c r="K762" s="87"/>
      <c r="L762" s="87"/>
      <c r="M762" s="87"/>
      <c r="N762" s="87"/>
      <c r="O762" s="87"/>
      <c r="P762" s="87"/>
      <c r="Q762" s="87"/>
      <c r="R762" s="87"/>
      <c r="S762" s="87"/>
      <c r="T762" s="87"/>
      <c r="U762" s="87"/>
      <c r="V762" s="87"/>
      <c r="W762" s="87"/>
      <c r="X762" s="87"/>
      <c r="Y762" s="87"/>
      <c r="Z762" s="87"/>
    </row>
    <row r="763" spans="1:26" ht="15.75" customHeight="1">
      <c r="A763" s="87"/>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row>
    <row r="764" spans="1:26" ht="15.75" customHeight="1">
      <c r="A764" s="87"/>
      <c r="B764" s="87"/>
      <c r="C764" s="87"/>
      <c r="D764" s="87"/>
      <c r="E764" s="87"/>
      <c r="F764" s="87"/>
      <c r="G764" s="87"/>
      <c r="H764" s="87"/>
      <c r="I764" s="87"/>
      <c r="J764" s="87"/>
      <c r="K764" s="87"/>
      <c r="L764" s="87"/>
      <c r="M764" s="87"/>
      <c r="N764" s="87"/>
      <c r="O764" s="87"/>
      <c r="P764" s="87"/>
      <c r="Q764" s="87"/>
      <c r="R764" s="87"/>
      <c r="S764" s="87"/>
      <c r="T764" s="87"/>
      <c r="U764" s="87"/>
      <c r="V764" s="87"/>
      <c r="W764" s="87"/>
      <c r="X764" s="87"/>
      <c r="Y764" s="87"/>
      <c r="Z764" s="87"/>
    </row>
    <row r="765" spans="1:26" ht="15.75" customHeight="1">
      <c r="A765" s="87"/>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row>
    <row r="766" spans="1:26" ht="15.75" customHeight="1">
      <c r="A766" s="87"/>
      <c r="B766" s="87"/>
      <c r="C766" s="87"/>
      <c r="D766" s="87"/>
      <c r="E766" s="87"/>
      <c r="F766" s="87"/>
      <c r="G766" s="87"/>
      <c r="H766" s="87"/>
      <c r="I766" s="87"/>
      <c r="J766" s="87"/>
      <c r="K766" s="87"/>
      <c r="L766" s="87"/>
      <c r="M766" s="87"/>
      <c r="N766" s="87"/>
      <c r="O766" s="87"/>
      <c r="P766" s="87"/>
      <c r="Q766" s="87"/>
      <c r="R766" s="87"/>
      <c r="S766" s="87"/>
      <c r="T766" s="87"/>
      <c r="U766" s="87"/>
      <c r="V766" s="87"/>
      <c r="W766" s="87"/>
      <c r="X766" s="87"/>
      <c r="Y766" s="87"/>
      <c r="Z766" s="87"/>
    </row>
    <row r="767" spans="1:26" ht="15.75" customHeight="1">
      <c r="A767" s="87"/>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row>
    <row r="768" spans="1:26" ht="15.75" customHeight="1">
      <c r="A768" s="87"/>
      <c r="B768" s="87"/>
      <c r="C768" s="87"/>
      <c r="D768" s="87"/>
      <c r="E768" s="87"/>
      <c r="F768" s="87"/>
      <c r="G768" s="87"/>
      <c r="H768" s="87"/>
      <c r="I768" s="87"/>
      <c r="J768" s="87"/>
      <c r="K768" s="87"/>
      <c r="L768" s="87"/>
      <c r="M768" s="87"/>
      <c r="N768" s="87"/>
      <c r="O768" s="87"/>
      <c r="P768" s="87"/>
      <c r="Q768" s="87"/>
      <c r="R768" s="87"/>
      <c r="S768" s="87"/>
      <c r="T768" s="87"/>
      <c r="U768" s="87"/>
      <c r="V768" s="87"/>
      <c r="W768" s="87"/>
      <c r="X768" s="87"/>
      <c r="Y768" s="87"/>
      <c r="Z768" s="87"/>
    </row>
    <row r="769" spans="1:26" ht="15.75" customHeight="1">
      <c r="A769" s="87"/>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row>
    <row r="770" spans="1:26" ht="15.75" customHeight="1">
      <c r="A770" s="87"/>
      <c r="B770" s="87"/>
      <c r="C770" s="87"/>
      <c r="D770" s="87"/>
      <c r="E770" s="87"/>
      <c r="F770" s="87"/>
      <c r="G770" s="87"/>
      <c r="H770" s="87"/>
      <c r="I770" s="87"/>
      <c r="J770" s="87"/>
      <c r="K770" s="87"/>
      <c r="L770" s="87"/>
      <c r="M770" s="87"/>
      <c r="N770" s="87"/>
      <c r="O770" s="87"/>
      <c r="P770" s="87"/>
      <c r="Q770" s="87"/>
      <c r="R770" s="87"/>
      <c r="S770" s="87"/>
      <c r="T770" s="87"/>
      <c r="U770" s="87"/>
      <c r="V770" s="87"/>
      <c r="W770" s="87"/>
      <c r="X770" s="87"/>
      <c r="Y770" s="87"/>
      <c r="Z770" s="87"/>
    </row>
    <row r="771" spans="1:26" ht="15.75" customHeight="1">
      <c r="A771" s="87"/>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row>
    <row r="772" spans="1:26" ht="15.75" customHeight="1">
      <c r="A772" s="87"/>
      <c r="B772" s="87"/>
      <c r="C772" s="87"/>
      <c r="D772" s="87"/>
      <c r="E772" s="87"/>
      <c r="F772" s="87"/>
      <c r="G772" s="87"/>
      <c r="H772" s="87"/>
      <c r="I772" s="87"/>
      <c r="J772" s="87"/>
      <c r="K772" s="87"/>
      <c r="L772" s="87"/>
      <c r="M772" s="87"/>
      <c r="N772" s="87"/>
      <c r="O772" s="87"/>
      <c r="P772" s="87"/>
      <c r="Q772" s="87"/>
      <c r="R772" s="87"/>
      <c r="S772" s="87"/>
      <c r="T772" s="87"/>
      <c r="U772" s="87"/>
      <c r="V772" s="87"/>
      <c r="W772" s="87"/>
      <c r="X772" s="87"/>
      <c r="Y772" s="87"/>
      <c r="Z772" s="87"/>
    </row>
    <row r="773" spans="1:26" ht="15.75" customHeight="1">
      <c r="A773" s="87"/>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row>
    <row r="774" spans="1:26" ht="15.75" customHeight="1">
      <c r="A774" s="87"/>
      <c r="B774" s="87"/>
      <c r="C774" s="87"/>
      <c r="D774" s="87"/>
      <c r="E774" s="87"/>
      <c r="F774" s="87"/>
      <c r="G774" s="87"/>
      <c r="H774" s="87"/>
      <c r="I774" s="87"/>
      <c r="J774" s="87"/>
      <c r="K774" s="87"/>
      <c r="L774" s="87"/>
      <c r="M774" s="87"/>
      <c r="N774" s="87"/>
      <c r="O774" s="87"/>
      <c r="P774" s="87"/>
      <c r="Q774" s="87"/>
      <c r="R774" s="87"/>
      <c r="S774" s="87"/>
      <c r="T774" s="87"/>
      <c r="U774" s="87"/>
      <c r="V774" s="87"/>
      <c r="W774" s="87"/>
      <c r="X774" s="87"/>
      <c r="Y774" s="87"/>
      <c r="Z774" s="87"/>
    </row>
    <row r="775" spans="1:26" ht="15.75" customHeight="1">
      <c r="A775" s="87"/>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row>
    <row r="776" spans="1:26" ht="15.75" customHeight="1">
      <c r="A776" s="87"/>
      <c r="B776" s="87"/>
      <c r="C776" s="87"/>
      <c r="D776" s="87"/>
      <c r="E776" s="87"/>
      <c r="F776" s="87"/>
      <c r="G776" s="87"/>
      <c r="H776" s="87"/>
      <c r="I776" s="87"/>
      <c r="J776" s="87"/>
      <c r="K776" s="87"/>
      <c r="L776" s="87"/>
      <c r="M776" s="87"/>
      <c r="N776" s="87"/>
      <c r="O776" s="87"/>
      <c r="P776" s="87"/>
      <c r="Q776" s="87"/>
      <c r="R776" s="87"/>
      <c r="S776" s="87"/>
      <c r="T776" s="87"/>
      <c r="U776" s="87"/>
      <c r="V776" s="87"/>
      <c r="W776" s="87"/>
      <c r="X776" s="87"/>
      <c r="Y776" s="87"/>
      <c r="Z776" s="87"/>
    </row>
    <row r="777" spans="1:26" ht="15.75" customHeight="1">
      <c r="A777" s="87"/>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row>
    <row r="778" spans="1:26" ht="15.75" customHeight="1">
      <c r="A778" s="87"/>
      <c r="B778" s="87"/>
      <c r="C778" s="87"/>
      <c r="D778" s="87"/>
      <c r="E778" s="87"/>
      <c r="F778" s="87"/>
      <c r="G778" s="87"/>
      <c r="H778" s="87"/>
      <c r="I778" s="87"/>
      <c r="J778" s="87"/>
      <c r="K778" s="87"/>
      <c r="L778" s="87"/>
      <c r="M778" s="87"/>
      <c r="N778" s="87"/>
      <c r="O778" s="87"/>
      <c r="P778" s="87"/>
      <c r="Q778" s="87"/>
      <c r="R778" s="87"/>
      <c r="S778" s="87"/>
      <c r="T778" s="87"/>
      <c r="U778" s="87"/>
      <c r="V778" s="87"/>
      <c r="W778" s="87"/>
      <c r="X778" s="87"/>
      <c r="Y778" s="87"/>
      <c r="Z778" s="87"/>
    </row>
    <row r="779" spans="1:26" ht="15.75" customHeight="1">
      <c r="A779" s="87"/>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row>
    <row r="780" spans="1:26" ht="15.75" customHeight="1">
      <c r="A780" s="87"/>
      <c r="B780" s="87"/>
      <c r="C780" s="87"/>
      <c r="D780" s="87"/>
      <c r="E780" s="87"/>
      <c r="F780" s="87"/>
      <c r="G780" s="87"/>
      <c r="H780" s="87"/>
      <c r="I780" s="87"/>
      <c r="J780" s="87"/>
      <c r="K780" s="87"/>
      <c r="L780" s="87"/>
      <c r="M780" s="87"/>
      <c r="N780" s="87"/>
      <c r="O780" s="87"/>
      <c r="P780" s="87"/>
      <c r="Q780" s="87"/>
      <c r="R780" s="87"/>
      <c r="S780" s="87"/>
      <c r="T780" s="87"/>
      <c r="U780" s="87"/>
      <c r="V780" s="87"/>
      <c r="W780" s="87"/>
      <c r="X780" s="87"/>
      <c r="Y780" s="87"/>
      <c r="Z780" s="87"/>
    </row>
    <row r="781" spans="1:26" ht="15.75" customHeight="1">
      <c r="A781" s="87"/>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row>
    <row r="782" spans="1:26" ht="15.75" customHeight="1">
      <c r="A782" s="87"/>
      <c r="B782" s="87"/>
      <c r="C782" s="87"/>
      <c r="D782" s="87"/>
      <c r="E782" s="87"/>
      <c r="F782" s="87"/>
      <c r="G782" s="87"/>
      <c r="H782" s="87"/>
      <c r="I782" s="87"/>
      <c r="J782" s="87"/>
      <c r="K782" s="87"/>
      <c r="L782" s="87"/>
      <c r="M782" s="87"/>
      <c r="N782" s="87"/>
      <c r="O782" s="87"/>
      <c r="P782" s="87"/>
      <c r="Q782" s="87"/>
      <c r="R782" s="87"/>
      <c r="S782" s="87"/>
      <c r="T782" s="87"/>
      <c r="U782" s="87"/>
      <c r="V782" s="87"/>
      <c r="W782" s="87"/>
      <c r="X782" s="87"/>
      <c r="Y782" s="87"/>
      <c r="Z782" s="87"/>
    </row>
    <row r="783" spans="1:26" ht="15.75" customHeight="1">
      <c r="A783" s="87"/>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row>
    <row r="784" spans="1:26" ht="15.75" customHeight="1">
      <c r="A784" s="87"/>
      <c r="B784" s="87"/>
      <c r="C784" s="87"/>
      <c r="D784" s="87"/>
      <c r="E784" s="87"/>
      <c r="F784" s="87"/>
      <c r="G784" s="87"/>
      <c r="H784" s="87"/>
      <c r="I784" s="87"/>
      <c r="J784" s="87"/>
      <c r="K784" s="87"/>
      <c r="L784" s="87"/>
      <c r="M784" s="87"/>
      <c r="N784" s="87"/>
      <c r="O784" s="87"/>
      <c r="P784" s="87"/>
      <c r="Q784" s="87"/>
      <c r="R784" s="87"/>
      <c r="S784" s="87"/>
      <c r="T784" s="87"/>
      <c r="U784" s="87"/>
      <c r="V784" s="87"/>
      <c r="W784" s="87"/>
      <c r="X784" s="87"/>
      <c r="Y784" s="87"/>
      <c r="Z784" s="87"/>
    </row>
    <row r="785" spans="1:26" ht="15.75" customHeight="1">
      <c r="A785" s="87"/>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row>
    <row r="786" spans="1:26" ht="15.75" customHeight="1">
      <c r="A786" s="87"/>
      <c r="B786" s="87"/>
      <c r="C786" s="87"/>
      <c r="D786" s="87"/>
      <c r="E786" s="87"/>
      <c r="F786" s="87"/>
      <c r="G786" s="87"/>
      <c r="H786" s="87"/>
      <c r="I786" s="87"/>
      <c r="J786" s="87"/>
      <c r="K786" s="87"/>
      <c r="L786" s="87"/>
      <c r="M786" s="87"/>
      <c r="N786" s="87"/>
      <c r="O786" s="87"/>
      <c r="P786" s="87"/>
      <c r="Q786" s="87"/>
      <c r="R786" s="87"/>
      <c r="S786" s="87"/>
      <c r="T786" s="87"/>
      <c r="U786" s="87"/>
      <c r="V786" s="87"/>
      <c r="W786" s="87"/>
      <c r="X786" s="87"/>
      <c r="Y786" s="87"/>
      <c r="Z786" s="87"/>
    </row>
    <row r="787" spans="1:26" ht="15.75" customHeight="1">
      <c r="A787" s="87"/>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row>
    <row r="788" spans="1:26" ht="15.75" customHeight="1">
      <c r="A788" s="87"/>
      <c r="B788" s="87"/>
      <c r="C788" s="87"/>
      <c r="D788" s="87"/>
      <c r="E788" s="87"/>
      <c r="F788" s="87"/>
      <c r="G788" s="87"/>
      <c r="H788" s="87"/>
      <c r="I788" s="87"/>
      <c r="J788" s="87"/>
      <c r="K788" s="87"/>
      <c r="L788" s="87"/>
      <c r="M788" s="87"/>
      <c r="N788" s="87"/>
      <c r="O788" s="87"/>
      <c r="P788" s="87"/>
      <c r="Q788" s="87"/>
      <c r="R788" s="87"/>
      <c r="S788" s="87"/>
      <c r="T788" s="87"/>
      <c r="U788" s="87"/>
      <c r="V788" s="87"/>
      <c r="W788" s="87"/>
      <c r="X788" s="87"/>
      <c r="Y788" s="87"/>
      <c r="Z788" s="87"/>
    </row>
    <row r="789" spans="1:26" ht="15.75" customHeight="1">
      <c r="A789" s="87"/>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row>
    <row r="790" spans="1:26" ht="15.75" customHeight="1">
      <c r="A790" s="87"/>
      <c r="B790" s="87"/>
      <c r="C790" s="87"/>
      <c r="D790" s="87"/>
      <c r="E790" s="87"/>
      <c r="F790" s="87"/>
      <c r="G790" s="87"/>
      <c r="H790" s="87"/>
      <c r="I790" s="87"/>
      <c r="J790" s="87"/>
      <c r="K790" s="87"/>
      <c r="L790" s="87"/>
      <c r="M790" s="87"/>
      <c r="N790" s="87"/>
      <c r="O790" s="87"/>
      <c r="P790" s="87"/>
      <c r="Q790" s="87"/>
      <c r="R790" s="87"/>
      <c r="S790" s="87"/>
      <c r="T790" s="87"/>
      <c r="U790" s="87"/>
      <c r="V790" s="87"/>
      <c r="W790" s="87"/>
      <c r="X790" s="87"/>
      <c r="Y790" s="87"/>
      <c r="Z790" s="87"/>
    </row>
    <row r="791" spans="1:26" ht="15.75" customHeight="1">
      <c r="A791" s="87"/>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row>
    <row r="792" spans="1:26" ht="15.75" customHeight="1">
      <c r="A792" s="87"/>
      <c r="B792" s="87"/>
      <c r="C792" s="87"/>
      <c r="D792" s="87"/>
      <c r="E792" s="87"/>
      <c r="F792" s="87"/>
      <c r="G792" s="87"/>
      <c r="H792" s="87"/>
      <c r="I792" s="87"/>
      <c r="J792" s="87"/>
      <c r="K792" s="87"/>
      <c r="L792" s="87"/>
      <c r="M792" s="87"/>
      <c r="N792" s="87"/>
      <c r="O792" s="87"/>
      <c r="P792" s="87"/>
      <c r="Q792" s="87"/>
      <c r="R792" s="87"/>
      <c r="S792" s="87"/>
      <c r="T792" s="87"/>
      <c r="U792" s="87"/>
      <c r="V792" s="87"/>
      <c r="W792" s="87"/>
      <c r="X792" s="87"/>
      <c r="Y792" s="87"/>
      <c r="Z792" s="87"/>
    </row>
    <row r="793" spans="1:26" ht="15.75" customHeight="1">
      <c r="A793" s="87"/>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row>
    <row r="794" spans="1:26" ht="15.75" customHeight="1">
      <c r="A794" s="87"/>
      <c r="B794" s="87"/>
      <c r="C794" s="87"/>
      <c r="D794" s="87"/>
      <c r="E794" s="87"/>
      <c r="F794" s="87"/>
      <c r="G794" s="87"/>
      <c r="H794" s="87"/>
      <c r="I794" s="87"/>
      <c r="J794" s="87"/>
      <c r="K794" s="87"/>
      <c r="L794" s="87"/>
      <c r="M794" s="87"/>
      <c r="N794" s="87"/>
      <c r="O794" s="87"/>
      <c r="P794" s="87"/>
      <c r="Q794" s="87"/>
      <c r="R794" s="87"/>
      <c r="S794" s="87"/>
      <c r="T794" s="87"/>
      <c r="U794" s="87"/>
      <c r="V794" s="87"/>
      <c r="W794" s="87"/>
      <c r="X794" s="87"/>
      <c r="Y794" s="87"/>
      <c r="Z794" s="87"/>
    </row>
    <row r="795" spans="1:26" ht="15.75" customHeight="1">
      <c r="A795" s="87"/>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row>
    <row r="796" spans="1:26" ht="15.75" customHeight="1">
      <c r="A796" s="87"/>
      <c r="B796" s="87"/>
      <c r="C796" s="87"/>
      <c r="D796" s="87"/>
      <c r="E796" s="87"/>
      <c r="F796" s="87"/>
      <c r="G796" s="87"/>
      <c r="H796" s="87"/>
      <c r="I796" s="87"/>
      <c r="J796" s="87"/>
      <c r="K796" s="87"/>
      <c r="L796" s="87"/>
      <c r="M796" s="87"/>
      <c r="N796" s="87"/>
      <c r="O796" s="87"/>
      <c r="P796" s="87"/>
      <c r="Q796" s="87"/>
      <c r="R796" s="87"/>
      <c r="S796" s="87"/>
      <c r="T796" s="87"/>
      <c r="U796" s="87"/>
      <c r="V796" s="87"/>
      <c r="W796" s="87"/>
      <c r="X796" s="87"/>
      <c r="Y796" s="87"/>
      <c r="Z796" s="87"/>
    </row>
    <row r="797" spans="1:26" ht="15.75" customHeight="1">
      <c r="A797" s="87"/>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row>
    <row r="798" spans="1:26" ht="15.75" customHeight="1">
      <c r="A798" s="87"/>
      <c r="B798" s="87"/>
      <c r="C798" s="87"/>
      <c r="D798" s="87"/>
      <c r="E798" s="87"/>
      <c r="F798" s="87"/>
      <c r="G798" s="87"/>
      <c r="H798" s="87"/>
      <c r="I798" s="87"/>
      <c r="J798" s="87"/>
      <c r="K798" s="87"/>
      <c r="L798" s="87"/>
      <c r="M798" s="87"/>
      <c r="N798" s="87"/>
      <c r="O798" s="87"/>
      <c r="P798" s="87"/>
      <c r="Q798" s="87"/>
      <c r="R798" s="87"/>
      <c r="S798" s="87"/>
      <c r="T798" s="87"/>
      <c r="U798" s="87"/>
      <c r="V798" s="87"/>
      <c r="W798" s="87"/>
      <c r="X798" s="87"/>
      <c r="Y798" s="87"/>
      <c r="Z798" s="87"/>
    </row>
    <row r="799" spans="1:26" ht="15.75" customHeight="1">
      <c r="A799" s="87"/>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row>
    <row r="800" spans="1:26" ht="15.75" customHeight="1">
      <c r="A800" s="87"/>
      <c r="B800" s="87"/>
      <c r="C800" s="87"/>
      <c r="D800" s="87"/>
      <c r="E800" s="87"/>
      <c r="F800" s="87"/>
      <c r="G800" s="87"/>
      <c r="H800" s="87"/>
      <c r="I800" s="87"/>
      <c r="J800" s="87"/>
      <c r="K800" s="87"/>
      <c r="L800" s="87"/>
      <c r="M800" s="87"/>
      <c r="N800" s="87"/>
      <c r="O800" s="87"/>
      <c r="P800" s="87"/>
      <c r="Q800" s="87"/>
      <c r="R800" s="87"/>
      <c r="S800" s="87"/>
      <c r="T800" s="87"/>
      <c r="U800" s="87"/>
      <c r="V800" s="87"/>
      <c r="W800" s="87"/>
      <c r="X800" s="87"/>
      <c r="Y800" s="87"/>
      <c r="Z800" s="87"/>
    </row>
    <row r="801" spans="1:26" ht="15.75" customHeight="1">
      <c r="A801" s="87"/>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row>
    <row r="802" spans="1:26" ht="15.75" customHeight="1">
      <c r="A802" s="87"/>
      <c r="B802" s="87"/>
      <c r="C802" s="87"/>
      <c r="D802" s="87"/>
      <c r="E802" s="87"/>
      <c r="F802" s="87"/>
      <c r="G802" s="87"/>
      <c r="H802" s="87"/>
      <c r="I802" s="87"/>
      <c r="J802" s="87"/>
      <c r="K802" s="87"/>
      <c r="L802" s="87"/>
      <c r="M802" s="87"/>
      <c r="N802" s="87"/>
      <c r="O802" s="87"/>
      <c r="P802" s="87"/>
      <c r="Q802" s="87"/>
      <c r="R802" s="87"/>
      <c r="S802" s="87"/>
      <c r="T802" s="87"/>
      <c r="U802" s="87"/>
      <c r="V802" s="87"/>
      <c r="W802" s="87"/>
      <c r="X802" s="87"/>
      <c r="Y802" s="87"/>
      <c r="Z802" s="87"/>
    </row>
    <row r="803" spans="1:26" ht="15.75" customHeight="1">
      <c r="A803" s="87"/>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row>
    <row r="804" spans="1:26" ht="15.75" customHeight="1">
      <c r="A804" s="87"/>
      <c r="B804" s="87"/>
      <c r="C804" s="87"/>
      <c r="D804" s="87"/>
      <c r="E804" s="87"/>
      <c r="F804" s="87"/>
      <c r="G804" s="87"/>
      <c r="H804" s="87"/>
      <c r="I804" s="87"/>
      <c r="J804" s="87"/>
      <c r="K804" s="87"/>
      <c r="L804" s="87"/>
      <c r="M804" s="87"/>
      <c r="N804" s="87"/>
      <c r="O804" s="87"/>
      <c r="P804" s="87"/>
      <c r="Q804" s="87"/>
      <c r="R804" s="87"/>
      <c r="S804" s="87"/>
      <c r="T804" s="87"/>
      <c r="U804" s="87"/>
      <c r="V804" s="87"/>
      <c r="W804" s="87"/>
      <c r="X804" s="87"/>
      <c r="Y804" s="87"/>
      <c r="Z804" s="87"/>
    </row>
    <row r="805" spans="1:26" ht="15.75" customHeight="1">
      <c r="A805" s="87"/>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row>
    <row r="806" spans="1:26" ht="15.75" customHeight="1">
      <c r="A806" s="87"/>
      <c r="B806" s="87"/>
      <c r="C806" s="87"/>
      <c r="D806" s="87"/>
      <c r="E806" s="87"/>
      <c r="F806" s="87"/>
      <c r="G806" s="87"/>
      <c r="H806" s="87"/>
      <c r="I806" s="87"/>
      <c r="J806" s="87"/>
      <c r="K806" s="87"/>
      <c r="L806" s="87"/>
      <c r="M806" s="87"/>
      <c r="N806" s="87"/>
      <c r="O806" s="87"/>
      <c r="P806" s="87"/>
      <c r="Q806" s="87"/>
      <c r="R806" s="87"/>
      <c r="S806" s="87"/>
      <c r="T806" s="87"/>
      <c r="U806" s="87"/>
      <c r="V806" s="87"/>
      <c r="W806" s="87"/>
      <c r="X806" s="87"/>
      <c r="Y806" s="87"/>
      <c r="Z806" s="87"/>
    </row>
    <row r="807" spans="1:26" ht="15.75" customHeight="1">
      <c r="A807" s="87"/>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row>
    <row r="808" spans="1:26" ht="15.75" customHeight="1">
      <c r="A808" s="87"/>
      <c r="B808" s="87"/>
      <c r="C808" s="87"/>
      <c r="D808" s="87"/>
      <c r="E808" s="87"/>
      <c r="F808" s="87"/>
      <c r="G808" s="87"/>
      <c r="H808" s="87"/>
      <c r="I808" s="87"/>
      <c r="J808" s="87"/>
      <c r="K808" s="87"/>
      <c r="L808" s="87"/>
      <c r="M808" s="87"/>
      <c r="N808" s="87"/>
      <c r="O808" s="87"/>
      <c r="P808" s="87"/>
      <c r="Q808" s="87"/>
      <c r="R808" s="87"/>
      <c r="S808" s="87"/>
      <c r="T808" s="87"/>
      <c r="U808" s="87"/>
      <c r="V808" s="87"/>
      <c r="W808" s="87"/>
      <c r="X808" s="87"/>
      <c r="Y808" s="87"/>
      <c r="Z808" s="87"/>
    </row>
    <row r="809" spans="1:26" ht="15.75" customHeight="1">
      <c r="A809" s="87"/>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row>
    <row r="810" spans="1:26" ht="15.75" customHeight="1">
      <c r="A810" s="87"/>
      <c r="B810" s="87"/>
      <c r="C810" s="87"/>
      <c r="D810" s="87"/>
      <c r="E810" s="87"/>
      <c r="F810" s="87"/>
      <c r="G810" s="87"/>
      <c r="H810" s="87"/>
      <c r="I810" s="87"/>
      <c r="J810" s="87"/>
      <c r="K810" s="87"/>
      <c r="L810" s="87"/>
      <c r="M810" s="87"/>
      <c r="N810" s="87"/>
      <c r="O810" s="87"/>
      <c r="P810" s="87"/>
      <c r="Q810" s="87"/>
      <c r="R810" s="87"/>
      <c r="S810" s="87"/>
      <c r="T810" s="87"/>
      <c r="U810" s="87"/>
      <c r="V810" s="87"/>
      <c r="W810" s="87"/>
      <c r="X810" s="87"/>
      <c r="Y810" s="87"/>
      <c r="Z810" s="87"/>
    </row>
    <row r="811" spans="1:26" ht="15.75" customHeight="1">
      <c r="A811" s="87"/>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row>
    <row r="812" spans="1:26" ht="15.75" customHeight="1">
      <c r="A812" s="87"/>
      <c r="B812" s="87"/>
      <c r="C812" s="87"/>
      <c r="D812" s="87"/>
      <c r="E812" s="87"/>
      <c r="F812" s="87"/>
      <c r="G812" s="87"/>
      <c r="H812" s="87"/>
      <c r="I812" s="87"/>
      <c r="J812" s="87"/>
      <c r="K812" s="87"/>
      <c r="L812" s="87"/>
      <c r="M812" s="87"/>
      <c r="N812" s="87"/>
      <c r="O812" s="87"/>
      <c r="P812" s="87"/>
      <c r="Q812" s="87"/>
      <c r="R812" s="87"/>
      <c r="S812" s="87"/>
      <c r="T812" s="87"/>
      <c r="U812" s="87"/>
      <c r="V812" s="87"/>
      <c r="W812" s="87"/>
      <c r="X812" s="87"/>
      <c r="Y812" s="87"/>
      <c r="Z812" s="87"/>
    </row>
    <row r="813" spans="1:26" ht="15.75" customHeight="1">
      <c r="A813" s="87"/>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row>
    <row r="814" spans="1:26" ht="15.75" customHeight="1">
      <c r="A814" s="87"/>
      <c r="B814" s="87"/>
      <c r="C814" s="87"/>
      <c r="D814" s="87"/>
      <c r="E814" s="87"/>
      <c r="F814" s="87"/>
      <c r="G814" s="87"/>
      <c r="H814" s="87"/>
      <c r="I814" s="87"/>
      <c r="J814" s="87"/>
      <c r="K814" s="87"/>
      <c r="L814" s="87"/>
      <c r="M814" s="87"/>
      <c r="N814" s="87"/>
      <c r="O814" s="87"/>
      <c r="P814" s="87"/>
      <c r="Q814" s="87"/>
      <c r="R814" s="87"/>
      <c r="S814" s="87"/>
      <c r="T814" s="87"/>
      <c r="U814" s="87"/>
      <c r="V814" s="87"/>
      <c r="W814" s="87"/>
      <c r="X814" s="87"/>
      <c r="Y814" s="87"/>
      <c r="Z814" s="87"/>
    </row>
    <row r="815" spans="1:26" ht="15.75" customHeight="1">
      <c r="A815" s="87"/>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row>
    <row r="816" spans="1:26" ht="15.75" customHeight="1">
      <c r="A816" s="87"/>
      <c r="B816" s="87"/>
      <c r="C816" s="87"/>
      <c r="D816" s="87"/>
      <c r="E816" s="87"/>
      <c r="F816" s="87"/>
      <c r="G816" s="87"/>
      <c r="H816" s="87"/>
      <c r="I816" s="87"/>
      <c r="J816" s="87"/>
      <c r="K816" s="87"/>
      <c r="L816" s="87"/>
      <c r="M816" s="87"/>
      <c r="N816" s="87"/>
      <c r="O816" s="87"/>
      <c r="P816" s="87"/>
      <c r="Q816" s="87"/>
      <c r="R816" s="87"/>
      <c r="S816" s="87"/>
      <c r="T816" s="87"/>
      <c r="U816" s="87"/>
      <c r="V816" s="87"/>
      <c r="W816" s="87"/>
      <c r="X816" s="87"/>
      <c r="Y816" s="87"/>
      <c r="Z816" s="87"/>
    </row>
    <row r="817" spans="1:26" ht="15.75" customHeight="1">
      <c r="A817" s="87"/>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row>
    <row r="818" spans="1:26" ht="15.75" customHeight="1">
      <c r="A818" s="87"/>
      <c r="B818" s="87"/>
      <c r="C818" s="87"/>
      <c r="D818" s="87"/>
      <c r="E818" s="87"/>
      <c r="F818" s="87"/>
      <c r="G818" s="87"/>
      <c r="H818" s="87"/>
      <c r="I818" s="87"/>
      <c r="J818" s="87"/>
      <c r="K818" s="87"/>
      <c r="L818" s="87"/>
      <c r="M818" s="87"/>
      <c r="N818" s="87"/>
      <c r="O818" s="87"/>
      <c r="P818" s="87"/>
      <c r="Q818" s="87"/>
      <c r="R818" s="87"/>
      <c r="S818" s="87"/>
      <c r="T818" s="87"/>
      <c r="U818" s="87"/>
      <c r="V818" s="87"/>
      <c r="W818" s="87"/>
      <c r="X818" s="87"/>
      <c r="Y818" s="87"/>
      <c r="Z818" s="87"/>
    </row>
    <row r="819" spans="1:26" ht="15.75" customHeight="1">
      <c r="A819" s="87"/>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row>
    <row r="820" spans="1:26" ht="15.75" customHeight="1">
      <c r="A820" s="87"/>
      <c r="B820" s="87"/>
      <c r="C820" s="87"/>
      <c r="D820" s="87"/>
      <c r="E820" s="87"/>
      <c r="F820" s="87"/>
      <c r="G820" s="87"/>
      <c r="H820" s="87"/>
      <c r="I820" s="87"/>
      <c r="J820" s="87"/>
      <c r="K820" s="87"/>
      <c r="L820" s="87"/>
      <c r="M820" s="87"/>
      <c r="N820" s="87"/>
      <c r="O820" s="87"/>
      <c r="P820" s="87"/>
      <c r="Q820" s="87"/>
      <c r="R820" s="87"/>
      <c r="S820" s="87"/>
      <c r="T820" s="87"/>
      <c r="U820" s="87"/>
      <c r="V820" s="87"/>
      <c r="W820" s="87"/>
      <c r="X820" s="87"/>
      <c r="Y820" s="87"/>
      <c r="Z820" s="87"/>
    </row>
    <row r="821" spans="1:26" ht="15.75" customHeight="1">
      <c r="A821" s="87"/>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row>
    <row r="822" spans="1:26" ht="15.75" customHeight="1">
      <c r="A822" s="87"/>
      <c r="B822" s="87"/>
      <c r="C822" s="87"/>
      <c r="D822" s="87"/>
      <c r="E822" s="87"/>
      <c r="F822" s="87"/>
      <c r="G822" s="87"/>
      <c r="H822" s="87"/>
      <c r="I822" s="87"/>
      <c r="J822" s="87"/>
      <c r="K822" s="87"/>
      <c r="L822" s="87"/>
      <c r="M822" s="87"/>
      <c r="N822" s="87"/>
      <c r="O822" s="87"/>
      <c r="P822" s="87"/>
      <c r="Q822" s="87"/>
      <c r="R822" s="87"/>
      <c r="S822" s="87"/>
      <c r="T822" s="87"/>
      <c r="U822" s="87"/>
      <c r="V822" s="87"/>
      <c r="W822" s="87"/>
      <c r="X822" s="87"/>
      <c r="Y822" s="87"/>
      <c r="Z822" s="87"/>
    </row>
    <row r="823" spans="1:26" ht="15.75" customHeight="1">
      <c r="A823" s="87"/>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row>
    <row r="824" spans="1:26" ht="15.75" customHeight="1">
      <c r="A824" s="87"/>
      <c r="B824" s="87"/>
      <c r="C824" s="87"/>
      <c r="D824" s="87"/>
      <c r="E824" s="87"/>
      <c r="F824" s="87"/>
      <c r="G824" s="87"/>
      <c r="H824" s="87"/>
      <c r="I824" s="87"/>
      <c r="J824" s="87"/>
      <c r="K824" s="87"/>
      <c r="L824" s="87"/>
      <c r="M824" s="87"/>
      <c r="N824" s="87"/>
      <c r="O824" s="87"/>
      <c r="P824" s="87"/>
      <c r="Q824" s="87"/>
      <c r="R824" s="87"/>
      <c r="S824" s="87"/>
      <c r="T824" s="87"/>
      <c r="U824" s="87"/>
      <c r="V824" s="87"/>
      <c r="W824" s="87"/>
      <c r="X824" s="87"/>
      <c r="Y824" s="87"/>
      <c r="Z824" s="87"/>
    </row>
    <row r="825" spans="1:26" ht="15.75" customHeight="1">
      <c r="A825" s="87"/>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row>
    <row r="826" spans="1:26" ht="15.75" customHeight="1">
      <c r="A826" s="87"/>
      <c r="B826" s="87"/>
      <c r="C826" s="87"/>
      <c r="D826" s="87"/>
      <c r="E826" s="87"/>
      <c r="F826" s="87"/>
      <c r="G826" s="87"/>
      <c r="H826" s="87"/>
      <c r="I826" s="87"/>
      <c r="J826" s="87"/>
      <c r="K826" s="87"/>
      <c r="L826" s="87"/>
      <c r="M826" s="87"/>
      <c r="N826" s="87"/>
      <c r="O826" s="87"/>
      <c r="P826" s="87"/>
      <c r="Q826" s="87"/>
      <c r="R826" s="87"/>
      <c r="S826" s="87"/>
      <c r="T826" s="87"/>
      <c r="U826" s="87"/>
      <c r="V826" s="87"/>
      <c r="W826" s="87"/>
      <c r="X826" s="87"/>
      <c r="Y826" s="87"/>
      <c r="Z826" s="87"/>
    </row>
    <row r="827" spans="1:26" ht="15.75" customHeight="1">
      <c r="A827" s="87"/>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row>
    <row r="828" spans="1:26" ht="15.75" customHeight="1">
      <c r="A828" s="87"/>
      <c r="B828" s="87"/>
      <c r="C828" s="87"/>
      <c r="D828" s="87"/>
      <c r="E828" s="87"/>
      <c r="F828" s="87"/>
      <c r="G828" s="87"/>
      <c r="H828" s="87"/>
      <c r="I828" s="87"/>
      <c r="J828" s="87"/>
      <c r="K828" s="87"/>
      <c r="L828" s="87"/>
      <c r="M828" s="87"/>
      <c r="N828" s="87"/>
      <c r="O828" s="87"/>
      <c r="P828" s="87"/>
      <c r="Q828" s="87"/>
      <c r="R828" s="87"/>
      <c r="S828" s="87"/>
      <c r="T828" s="87"/>
      <c r="U828" s="87"/>
      <c r="V828" s="87"/>
      <c r="W828" s="87"/>
      <c r="X828" s="87"/>
      <c r="Y828" s="87"/>
      <c r="Z828" s="87"/>
    </row>
    <row r="829" spans="1:26" ht="15.75" customHeight="1">
      <c r="A829" s="87"/>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row>
    <row r="830" spans="1:26" ht="15.75" customHeight="1">
      <c r="A830" s="87"/>
      <c r="B830" s="87"/>
      <c r="C830" s="87"/>
      <c r="D830" s="87"/>
      <c r="E830" s="87"/>
      <c r="F830" s="87"/>
      <c r="G830" s="87"/>
      <c r="H830" s="87"/>
      <c r="I830" s="87"/>
      <c r="J830" s="87"/>
      <c r="K830" s="87"/>
      <c r="L830" s="87"/>
      <c r="M830" s="87"/>
      <c r="N830" s="87"/>
      <c r="O830" s="87"/>
      <c r="P830" s="87"/>
      <c r="Q830" s="87"/>
      <c r="R830" s="87"/>
      <c r="S830" s="87"/>
      <c r="T830" s="87"/>
      <c r="U830" s="87"/>
      <c r="V830" s="87"/>
      <c r="W830" s="87"/>
      <c r="X830" s="87"/>
      <c r="Y830" s="87"/>
      <c r="Z830" s="87"/>
    </row>
    <row r="831" spans="1:26" ht="15.75" customHeight="1">
      <c r="A831" s="87"/>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row>
    <row r="832" spans="1:26" ht="15.75" customHeight="1">
      <c r="A832" s="87"/>
      <c r="B832" s="87"/>
      <c r="C832" s="87"/>
      <c r="D832" s="87"/>
      <c r="E832" s="87"/>
      <c r="F832" s="87"/>
      <c r="G832" s="87"/>
      <c r="H832" s="87"/>
      <c r="I832" s="87"/>
      <c r="J832" s="87"/>
      <c r="K832" s="87"/>
      <c r="L832" s="87"/>
      <c r="M832" s="87"/>
      <c r="N832" s="87"/>
      <c r="O832" s="87"/>
      <c r="P832" s="87"/>
      <c r="Q832" s="87"/>
      <c r="R832" s="87"/>
      <c r="S832" s="87"/>
      <c r="T832" s="87"/>
      <c r="U832" s="87"/>
      <c r="V832" s="87"/>
      <c r="W832" s="87"/>
      <c r="X832" s="87"/>
      <c r="Y832" s="87"/>
      <c r="Z832" s="87"/>
    </row>
    <row r="833" spans="1:26" ht="15.75" customHeight="1">
      <c r="A833" s="87"/>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row>
    <row r="834" spans="1:26" ht="15.75" customHeight="1">
      <c r="A834" s="87"/>
      <c r="B834" s="87"/>
      <c r="C834" s="87"/>
      <c r="D834" s="87"/>
      <c r="E834" s="87"/>
      <c r="F834" s="87"/>
      <c r="G834" s="87"/>
      <c r="H834" s="87"/>
      <c r="I834" s="87"/>
      <c r="J834" s="87"/>
      <c r="K834" s="87"/>
      <c r="L834" s="87"/>
      <c r="M834" s="87"/>
      <c r="N834" s="87"/>
      <c r="O834" s="87"/>
      <c r="P834" s="87"/>
      <c r="Q834" s="87"/>
      <c r="R834" s="87"/>
      <c r="S834" s="87"/>
      <c r="T834" s="87"/>
      <c r="U834" s="87"/>
      <c r="V834" s="87"/>
      <c r="W834" s="87"/>
      <c r="X834" s="87"/>
      <c r="Y834" s="87"/>
      <c r="Z834" s="87"/>
    </row>
    <row r="835" spans="1:26" ht="15.75" customHeight="1">
      <c r="A835" s="87"/>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row>
    <row r="836" spans="1:26" ht="15.75" customHeight="1">
      <c r="A836" s="87"/>
      <c r="B836" s="87"/>
      <c r="C836" s="87"/>
      <c r="D836" s="87"/>
      <c r="E836" s="87"/>
      <c r="F836" s="87"/>
      <c r="G836" s="87"/>
      <c r="H836" s="87"/>
      <c r="I836" s="87"/>
      <c r="J836" s="87"/>
      <c r="K836" s="87"/>
      <c r="L836" s="87"/>
      <c r="M836" s="87"/>
      <c r="N836" s="87"/>
      <c r="O836" s="87"/>
      <c r="P836" s="87"/>
      <c r="Q836" s="87"/>
      <c r="R836" s="87"/>
      <c r="S836" s="87"/>
      <c r="T836" s="87"/>
      <c r="U836" s="87"/>
      <c r="V836" s="87"/>
      <c r="W836" s="87"/>
      <c r="X836" s="87"/>
      <c r="Y836" s="87"/>
      <c r="Z836" s="87"/>
    </row>
    <row r="837" spans="1:26" ht="15.75" customHeight="1">
      <c r="A837" s="87"/>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row>
    <row r="838" spans="1:26" ht="15.75" customHeight="1">
      <c r="A838" s="87"/>
      <c r="B838" s="87"/>
      <c r="C838" s="87"/>
      <c r="D838" s="87"/>
      <c r="E838" s="87"/>
      <c r="F838" s="87"/>
      <c r="G838" s="87"/>
      <c r="H838" s="87"/>
      <c r="I838" s="87"/>
      <c r="J838" s="87"/>
      <c r="K838" s="87"/>
      <c r="L838" s="87"/>
      <c r="M838" s="87"/>
      <c r="N838" s="87"/>
      <c r="O838" s="87"/>
      <c r="P838" s="87"/>
      <c r="Q838" s="87"/>
      <c r="R838" s="87"/>
      <c r="S838" s="87"/>
      <c r="T838" s="87"/>
      <c r="U838" s="87"/>
      <c r="V838" s="87"/>
      <c r="W838" s="87"/>
      <c r="X838" s="87"/>
      <c r="Y838" s="87"/>
      <c r="Z838" s="87"/>
    </row>
    <row r="839" spans="1:26" ht="15.75" customHeight="1">
      <c r="A839" s="87"/>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row>
    <row r="840" spans="1:26" ht="15.75" customHeight="1">
      <c r="A840" s="87"/>
      <c r="B840" s="87"/>
      <c r="C840" s="87"/>
      <c r="D840" s="87"/>
      <c r="E840" s="87"/>
      <c r="F840" s="87"/>
      <c r="G840" s="87"/>
      <c r="H840" s="87"/>
      <c r="I840" s="87"/>
      <c r="J840" s="87"/>
      <c r="K840" s="87"/>
      <c r="L840" s="87"/>
      <c r="M840" s="87"/>
      <c r="N840" s="87"/>
      <c r="O840" s="87"/>
      <c r="P840" s="87"/>
      <c r="Q840" s="87"/>
      <c r="R840" s="87"/>
      <c r="S840" s="87"/>
      <c r="T840" s="87"/>
      <c r="U840" s="87"/>
      <c r="V840" s="87"/>
      <c r="W840" s="87"/>
      <c r="X840" s="87"/>
      <c r="Y840" s="87"/>
      <c r="Z840" s="87"/>
    </row>
    <row r="841" spans="1:26" ht="15.75" customHeight="1">
      <c r="A841" s="87"/>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row>
    <row r="842" spans="1:26" ht="15.75" customHeight="1">
      <c r="A842" s="87"/>
      <c r="B842" s="87"/>
      <c r="C842" s="87"/>
      <c r="D842" s="87"/>
      <c r="E842" s="87"/>
      <c r="F842" s="87"/>
      <c r="G842" s="87"/>
      <c r="H842" s="87"/>
      <c r="I842" s="87"/>
      <c r="J842" s="87"/>
      <c r="K842" s="87"/>
      <c r="L842" s="87"/>
      <c r="M842" s="87"/>
      <c r="N842" s="87"/>
      <c r="O842" s="87"/>
      <c r="P842" s="87"/>
      <c r="Q842" s="87"/>
      <c r="R842" s="87"/>
      <c r="S842" s="87"/>
      <c r="T842" s="87"/>
      <c r="U842" s="87"/>
      <c r="V842" s="87"/>
      <c r="W842" s="87"/>
      <c r="X842" s="87"/>
      <c r="Y842" s="87"/>
      <c r="Z842" s="87"/>
    </row>
    <row r="843" spans="1:26" ht="15.75" customHeight="1">
      <c r="A843" s="87"/>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row>
    <row r="844" spans="1:26" ht="15.75" customHeight="1">
      <c r="A844" s="87"/>
      <c r="B844" s="87"/>
      <c r="C844" s="87"/>
      <c r="D844" s="87"/>
      <c r="E844" s="87"/>
      <c r="F844" s="87"/>
      <c r="G844" s="87"/>
      <c r="H844" s="87"/>
      <c r="I844" s="87"/>
      <c r="J844" s="87"/>
      <c r="K844" s="87"/>
      <c r="L844" s="87"/>
      <c r="M844" s="87"/>
      <c r="N844" s="87"/>
      <c r="O844" s="87"/>
      <c r="P844" s="87"/>
      <c r="Q844" s="87"/>
      <c r="R844" s="87"/>
      <c r="S844" s="87"/>
      <c r="T844" s="87"/>
      <c r="U844" s="87"/>
      <c r="V844" s="87"/>
      <c r="W844" s="87"/>
      <c r="X844" s="87"/>
      <c r="Y844" s="87"/>
      <c r="Z844" s="87"/>
    </row>
    <row r="845" spans="1:26" ht="15.75" customHeight="1">
      <c r="A845" s="87"/>
      <c r="B845" s="87"/>
      <c r="C845" s="87"/>
      <c r="D845" s="87"/>
      <c r="E845" s="87"/>
      <c r="F845" s="87"/>
      <c r="G845" s="87"/>
      <c r="H845" s="87"/>
      <c r="I845" s="87"/>
      <c r="J845" s="87"/>
      <c r="K845" s="87"/>
      <c r="L845" s="87"/>
      <c r="M845" s="87"/>
      <c r="N845" s="87"/>
      <c r="O845" s="87"/>
      <c r="P845" s="87"/>
      <c r="Q845" s="87"/>
      <c r="R845" s="87"/>
      <c r="S845" s="87"/>
      <c r="T845" s="87"/>
      <c r="U845" s="87"/>
      <c r="V845" s="87"/>
      <c r="W845" s="87"/>
      <c r="X845" s="87"/>
      <c r="Y845" s="87"/>
      <c r="Z845" s="87"/>
    </row>
    <row r="846" spans="1:26" ht="15.75" customHeight="1">
      <c r="A846" s="87"/>
      <c r="B846" s="87"/>
      <c r="C846" s="87"/>
      <c r="D846" s="87"/>
      <c r="E846" s="87"/>
      <c r="F846" s="87"/>
      <c r="G846" s="87"/>
      <c r="H846" s="87"/>
      <c r="I846" s="87"/>
      <c r="J846" s="87"/>
      <c r="K846" s="87"/>
      <c r="L846" s="87"/>
      <c r="M846" s="87"/>
      <c r="N846" s="87"/>
      <c r="O846" s="87"/>
      <c r="P846" s="87"/>
      <c r="Q846" s="87"/>
      <c r="R846" s="87"/>
      <c r="S846" s="87"/>
      <c r="T846" s="87"/>
      <c r="U846" s="87"/>
      <c r="V846" s="87"/>
      <c r="W846" s="87"/>
      <c r="X846" s="87"/>
      <c r="Y846" s="87"/>
      <c r="Z846" s="87"/>
    </row>
    <row r="847" spans="1:26" ht="15.75" customHeight="1">
      <c r="A847" s="87"/>
      <c r="B847" s="87"/>
      <c r="C847" s="87"/>
      <c r="D847" s="87"/>
      <c r="E847" s="87"/>
      <c r="F847" s="87"/>
      <c r="G847" s="87"/>
      <c r="H847" s="87"/>
      <c r="I847" s="87"/>
      <c r="J847" s="87"/>
      <c r="K847" s="87"/>
      <c r="L847" s="87"/>
      <c r="M847" s="87"/>
      <c r="N847" s="87"/>
      <c r="O847" s="87"/>
      <c r="P847" s="87"/>
      <c r="Q847" s="87"/>
      <c r="R847" s="87"/>
      <c r="S847" s="87"/>
      <c r="T847" s="87"/>
      <c r="U847" s="87"/>
      <c r="V847" s="87"/>
      <c r="W847" s="87"/>
      <c r="X847" s="87"/>
      <c r="Y847" s="87"/>
      <c r="Z847" s="87"/>
    </row>
    <row r="848" spans="1:26" ht="15.75" customHeight="1">
      <c r="A848" s="87"/>
      <c r="B848" s="87"/>
      <c r="C848" s="87"/>
      <c r="D848" s="87"/>
      <c r="E848" s="87"/>
      <c r="F848" s="87"/>
      <c r="G848" s="87"/>
      <c r="H848" s="87"/>
      <c r="I848" s="87"/>
      <c r="J848" s="87"/>
      <c r="K848" s="87"/>
      <c r="L848" s="87"/>
      <c r="M848" s="87"/>
      <c r="N848" s="87"/>
      <c r="O848" s="87"/>
      <c r="P848" s="87"/>
      <c r="Q848" s="87"/>
      <c r="R848" s="87"/>
      <c r="S848" s="87"/>
      <c r="T848" s="87"/>
      <c r="U848" s="87"/>
      <c r="V848" s="87"/>
      <c r="W848" s="87"/>
      <c r="X848" s="87"/>
      <c r="Y848" s="87"/>
      <c r="Z848" s="87"/>
    </row>
    <row r="849" spans="1:26" ht="15.75" customHeight="1">
      <c r="A849" s="87"/>
      <c r="B849" s="87"/>
      <c r="C849" s="87"/>
      <c r="D849" s="87"/>
      <c r="E849" s="87"/>
      <c r="F849" s="87"/>
      <c r="G849" s="87"/>
      <c r="H849" s="87"/>
      <c r="I849" s="87"/>
      <c r="J849" s="87"/>
      <c r="K849" s="87"/>
      <c r="L849" s="87"/>
      <c r="M849" s="87"/>
      <c r="N849" s="87"/>
      <c r="O849" s="87"/>
      <c r="P849" s="87"/>
      <c r="Q849" s="87"/>
      <c r="R849" s="87"/>
      <c r="S849" s="87"/>
      <c r="T849" s="87"/>
      <c r="U849" s="87"/>
      <c r="V849" s="87"/>
      <c r="W849" s="87"/>
      <c r="X849" s="87"/>
      <c r="Y849" s="87"/>
      <c r="Z849" s="87"/>
    </row>
    <row r="850" spans="1:26" ht="15.75" customHeight="1">
      <c r="A850" s="87"/>
      <c r="B850" s="87"/>
      <c r="C850" s="87"/>
      <c r="D850" s="87"/>
      <c r="E850" s="87"/>
      <c r="F850" s="87"/>
      <c r="G850" s="87"/>
      <c r="H850" s="87"/>
      <c r="I850" s="87"/>
      <c r="J850" s="87"/>
      <c r="K850" s="87"/>
      <c r="L850" s="87"/>
      <c r="M850" s="87"/>
      <c r="N850" s="87"/>
      <c r="O850" s="87"/>
      <c r="P850" s="87"/>
      <c r="Q850" s="87"/>
      <c r="R850" s="87"/>
      <c r="S850" s="87"/>
      <c r="T850" s="87"/>
      <c r="U850" s="87"/>
      <c r="V850" s="87"/>
      <c r="W850" s="87"/>
      <c r="X850" s="87"/>
      <c r="Y850" s="87"/>
      <c r="Z850" s="87"/>
    </row>
    <row r="851" spans="1:26" ht="15.75" customHeight="1">
      <c r="A851" s="87"/>
      <c r="B851" s="87"/>
      <c r="C851" s="87"/>
      <c r="D851" s="87"/>
      <c r="E851" s="87"/>
      <c r="F851" s="87"/>
      <c r="G851" s="87"/>
      <c r="H851" s="87"/>
      <c r="I851" s="87"/>
      <c r="J851" s="87"/>
      <c r="K851" s="87"/>
      <c r="L851" s="87"/>
      <c r="M851" s="87"/>
      <c r="N851" s="87"/>
      <c r="O851" s="87"/>
      <c r="P851" s="87"/>
      <c r="Q851" s="87"/>
      <c r="R851" s="87"/>
      <c r="S851" s="87"/>
      <c r="T851" s="87"/>
      <c r="U851" s="87"/>
      <c r="V851" s="87"/>
      <c r="W851" s="87"/>
      <c r="X851" s="87"/>
      <c r="Y851" s="87"/>
      <c r="Z851" s="87"/>
    </row>
    <row r="852" spans="1:26" ht="15.75" customHeight="1">
      <c r="A852" s="87"/>
      <c r="B852" s="87"/>
      <c r="C852" s="87"/>
      <c r="D852" s="87"/>
      <c r="E852" s="87"/>
      <c r="F852" s="87"/>
      <c r="G852" s="87"/>
      <c r="H852" s="87"/>
      <c r="I852" s="87"/>
      <c r="J852" s="87"/>
      <c r="K852" s="87"/>
      <c r="L852" s="87"/>
      <c r="M852" s="87"/>
      <c r="N852" s="87"/>
      <c r="O852" s="87"/>
      <c r="P852" s="87"/>
      <c r="Q852" s="87"/>
      <c r="R852" s="87"/>
      <c r="S852" s="87"/>
      <c r="T852" s="87"/>
      <c r="U852" s="87"/>
      <c r="V852" s="87"/>
      <c r="W852" s="87"/>
      <c r="X852" s="87"/>
      <c r="Y852" s="87"/>
      <c r="Z852" s="87"/>
    </row>
    <row r="853" spans="1:26" ht="15.75" customHeight="1">
      <c r="A853" s="87"/>
      <c r="B853" s="87"/>
      <c r="C853" s="87"/>
      <c r="D853" s="87"/>
      <c r="E853" s="87"/>
      <c r="F853" s="87"/>
      <c r="G853" s="87"/>
      <c r="H853" s="87"/>
      <c r="I853" s="87"/>
      <c r="J853" s="87"/>
      <c r="K853" s="87"/>
      <c r="L853" s="87"/>
      <c r="M853" s="87"/>
      <c r="N853" s="87"/>
      <c r="O853" s="87"/>
      <c r="P853" s="87"/>
      <c r="Q853" s="87"/>
      <c r="R853" s="87"/>
      <c r="S853" s="87"/>
      <c r="T853" s="87"/>
      <c r="U853" s="87"/>
      <c r="V853" s="87"/>
      <c r="W853" s="87"/>
      <c r="X853" s="87"/>
      <c r="Y853" s="87"/>
      <c r="Z853" s="87"/>
    </row>
    <row r="854" spans="1:26" ht="15.75" customHeight="1">
      <c r="A854" s="87"/>
      <c r="B854" s="87"/>
      <c r="C854" s="87"/>
      <c r="D854" s="87"/>
      <c r="E854" s="87"/>
      <c r="F854" s="87"/>
      <c r="G854" s="87"/>
      <c r="H854" s="87"/>
      <c r="I854" s="87"/>
      <c r="J854" s="87"/>
      <c r="K854" s="87"/>
      <c r="L854" s="87"/>
      <c r="M854" s="87"/>
      <c r="N854" s="87"/>
      <c r="O854" s="87"/>
      <c r="P854" s="87"/>
      <c r="Q854" s="87"/>
      <c r="R854" s="87"/>
      <c r="S854" s="87"/>
      <c r="T854" s="87"/>
      <c r="U854" s="87"/>
      <c r="V854" s="87"/>
      <c r="W854" s="87"/>
      <c r="X854" s="87"/>
      <c r="Y854" s="87"/>
      <c r="Z854" s="87"/>
    </row>
    <row r="855" spans="1:26" ht="15.75" customHeight="1">
      <c r="A855" s="87"/>
      <c r="B855" s="87"/>
      <c r="C855" s="87"/>
      <c r="D855" s="87"/>
      <c r="E855" s="87"/>
      <c r="F855" s="87"/>
      <c r="G855" s="87"/>
      <c r="H855" s="87"/>
      <c r="I855" s="87"/>
      <c r="J855" s="87"/>
      <c r="K855" s="87"/>
      <c r="L855" s="87"/>
      <c r="M855" s="87"/>
      <c r="N855" s="87"/>
      <c r="O855" s="87"/>
      <c r="P855" s="87"/>
      <c r="Q855" s="87"/>
      <c r="R855" s="87"/>
      <c r="S855" s="87"/>
      <c r="T855" s="87"/>
      <c r="U855" s="87"/>
      <c r="V855" s="87"/>
      <c r="W855" s="87"/>
      <c r="X855" s="87"/>
      <c r="Y855" s="87"/>
      <c r="Z855" s="87"/>
    </row>
    <row r="856" spans="1:26" ht="15.75" customHeight="1">
      <c r="A856" s="87"/>
      <c r="B856" s="87"/>
      <c r="C856" s="87"/>
      <c r="D856" s="87"/>
      <c r="E856" s="87"/>
      <c r="F856" s="87"/>
      <c r="G856" s="87"/>
      <c r="H856" s="87"/>
      <c r="I856" s="87"/>
      <c r="J856" s="87"/>
      <c r="K856" s="87"/>
      <c r="L856" s="87"/>
      <c r="M856" s="87"/>
      <c r="N856" s="87"/>
      <c r="O856" s="87"/>
      <c r="P856" s="87"/>
      <c r="Q856" s="87"/>
      <c r="R856" s="87"/>
      <c r="S856" s="87"/>
      <c r="T856" s="87"/>
      <c r="U856" s="87"/>
      <c r="V856" s="87"/>
      <c r="W856" s="87"/>
      <c r="X856" s="87"/>
      <c r="Y856" s="87"/>
      <c r="Z856" s="87"/>
    </row>
    <row r="857" spans="1:26" ht="15.75" customHeight="1">
      <c r="A857" s="87"/>
      <c r="B857" s="87"/>
      <c r="C857" s="87"/>
      <c r="D857" s="87"/>
      <c r="E857" s="87"/>
      <c r="F857" s="87"/>
      <c r="G857" s="87"/>
      <c r="H857" s="87"/>
      <c r="I857" s="87"/>
      <c r="J857" s="87"/>
      <c r="K857" s="87"/>
      <c r="L857" s="87"/>
      <c r="M857" s="87"/>
      <c r="N857" s="87"/>
      <c r="O857" s="87"/>
      <c r="P857" s="87"/>
      <c r="Q857" s="87"/>
      <c r="R857" s="87"/>
      <c r="S857" s="87"/>
      <c r="T857" s="87"/>
      <c r="U857" s="87"/>
      <c r="V857" s="87"/>
      <c r="W857" s="87"/>
      <c r="X857" s="87"/>
      <c r="Y857" s="87"/>
      <c r="Z857" s="87"/>
    </row>
    <row r="858" spans="1:26" ht="15.75" customHeight="1">
      <c r="A858" s="87"/>
      <c r="B858" s="87"/>
      <c r="C858" s="87"/>
      <c r="D858" s="87"/>
      <c r="E858" s="87"/>
      <c r="F858" s="87"/>
      <c r="G858" s="87"/>
      <c r="H858" s="87"/>
      <c r="I858" s="87"/>
      <c r="J858" s="87"/>
      <c r="K858" s="87"/>
      <c r="L858" s="87"/>
      <c r="M858" s="87"/>
      <c r="N858" s="87"/>
      <c r="O858" s="87"/>
      <c r="P858" s="87"/>
      <c r="Q858" s="87"/>
      <c r="R858" s="87"/>
      <c r="S858" s="87"/>
      <c r="T858" s="87"/>
      <c r="U858" s="87"/>
      <c r="V858" s="87"/>
      <c r="W858" s="87"/>
      <c r="X858" s="87"/>
      <c r="Y858" s="87"/>
      <c r="Z858" s="87"/>
    </row>
    <row r="859" spans="1:26" ht="15.75" customHeight="1">
      <c r="A859" s="87"/>
      <c r="B859" s="87"/>
      <c r="C859" s="87"/>
      <c r="D859" s="87"/>
      <c r="E859" s="87"/>
      <c r="F859" s="87"/>
      <c r="G859" s="87"/>
      <c r="H859" s="87"/>
      <c r="I859" s="87"/>
      <c r="J859" s="87"/>
      <c r="K859" s="87"/>
      <c r="L859" s="87"/>
      <c r="M859" s="87"/>
      <c r="N859" s="87"/>
      <c r="O859" s="87"/>
      <c r="P859" s="87"/>
      <c r="Q859" s="87"/>
      <c r="R859" s="87"/>
      <c r="S859" s="87"/>
      <c r="T859" s="87"/>
      <c r="U859" s="87"/>
      <c r="V859" s="87"/>
      <c r="W859" s="87"/>
      <c r="X859" s="87"/>
      <c r="Y859" s="87"/>
      <c r="Z859" s="87"/>
    </row>
    <row r="860" spans="1:26" ht="15.75" customHeight="1">
      <c r="A860" s="87"/>
      <c r="B860" s="87"/>
      <c r="C860" s="87"/>
      <c r="D860" s="87"/>
      <c r="E860" s="87"/>
      <c r="F860" s="87"/>
      <c r="G860" s="87"/>
      <c r="H860" s="87"/>
      <c r="I860" s="87"/>
      <c r="J860" s="87"/>
      <c r="K860" s="87"/>
      <c r="L860" s="87"/>
      <c r="M860" s="87"/>
      <c r="N860" s="87"/>
      <c r="O860" s="87"/>
      <c r="P860" s="87"/>
      <c r="Q860" s="87"/>
      <c r="R860" s="87"/>
      <c r="S860" s="87"/>
      <c r="T860" s="87"/>
      <c r="U860" s="87"/>
      <c r="V860" s="87"/>
      <c r="W860" s="87"/>
      <c r="X860" s="87"/>
      <c r="Y860" s="87"/>
      <c r="Z860" s="87"/>
    </row>
    <row r="861" spans="1:26" ht="15.75" customHeight="1">
      <c r="A861" s="87"/>
      <c r="B861" s="87"/>
      <c r="C861" s="87"/>
      <c r="D861" s="87"/>
      <c r="E861" s="87"/>
      <c r="F861" s="87"/>
      <c r="G861" s="87"/>
      <c r="H861" s="87"/>
      <c r="I861" s="87"/>
      <c r="J861" s="87"/>
      <c r="K861" s="87"/>
      <c r="L861" s="87"/>
      <c r="M861" s="87"/>
      <c r="N861" s="87"/>
      <c r="O861" s="87"/>
      <c r="P861" s="87"/>
      <c r="Q861" s="87"/>
      <c r="R861" s="87"/>
      <c r="S861" s="87"/>
      <c r="T861" s="87"/>
      <c r="U861" s="87"/>
      <c r="V861" s="87"/>
      <c r="W861" s="87"/>
      <c r="X861" s="87"/>
      <c r="Y861" s="87"/>
      <c r="Z861" s="87"/>
    </row>
    <row r="862" spans="1:26" ht="15.75" customHeight="1">
      <c r="A862" s="87"/>
      <c r="B862" s="87"/>
      <c r="C862" s="87"/>
      <c r="D862" s="87"/>
      <c r="E862" s="87"/>
      <c r="F862" s="87"/>
      <c r="G862" s="87"/>
      <c r="H862" s="87"/>
      <c r="I862" s="87"/>
      <c r="J862" s="87"/>
      <c r="K862" s="87"/>
      <c r="L862" s="87"/>
      <c r="M862" s="87"/>
      <c r="N862" s="87"/>
      <c r="O862" s="87"/>
      <c r="P862" s="87"/>
      <c r="Q862" s="87"/>
      <c r="R862" s="87"/>
      <c r="S862" s="87"/>
      <c r="T862" s="87"/>
      <c r="U862" s="87"/>
      <c r="V862" s="87"/>
      <c r="W862" s="87"/>
      <c r="X862" s="87"/>
      <c r="Y862" s="87"/>
      <c r="Z862" s="87"/>
    </row>
    <row r="863" spans="1:26" ht="15.75" customHeight="1">
      <c r="A863" s="87"/>
      <c r="B863" s="87"/>
      <c r="C863" s="87"/>
      <c r="D863" s="87"/>
      <c r="E863" s="87"/>
      <c r="F863" s="87"/>
      <c r="G863" s="87"/>
      <c r="H863" s="87"/>
      <c r="I863" s="87"/>
      <c r="J863" s="87"/>
      <c r="K863" s="87"/>
      <c r="L863" s="87"/>
      <c r="M863" s="87"/>
      <c r="N863" s="87"/>
      <c r="O863" s="87"/>
      <c r="P863" s="87"/>
      <c r="Q863" s="87"/>
      <c r="R863" s="87"/>
      <c r="S863" s="87"/>
      <c r="T863" s="87"/>
      <c r="U863" s="87"/>
      <c r="V863" s="87"/>
      <c r="W863" s="87"/>
      <c r="X863" s="87"/>
      <c r="Y863" s="87"/>
      <c r="Z863" s="87"/>
    </row>
    <row r="864" spans="1:26" ht="15.75" customHeight="1">
      <c r="A864" s="87"/>
      <c r="B864" s="87"/>
      <c r="C864" s="87"/>
      <c r="D864" s="87"/>
      <c r="E864" s="87"/>
      <c r="F864" s="87"/>
      <c r="G864" s="87"/>
      <c r="H864" s="87"/>
      <c r="I864" s="87"/>
      <c r="J864" s="87"/>
      <c r="K864" s="87"/>
      <c r="L864" s="87"/>
      <c r="M864" s="87"/>
      <c r="N864" s="87"/>
      <c r="O864" s="87"/>
      <c r="P864" s="87"/>
      <c r="Q864" s="87"/>
      <c r="R864" s="87"/>
      <c r="S864" s="87"/>
      <c r="T864" s="87"/>
      <c r="U864" s="87"/>
      <c r="V864" s="87"/>
      <c r="W864" s="87"/>
      <c r="X864" s="87"/>
      <c r="Y864" s="87"/>
      <c r="Z864" s="87"/>
    </row>
    <row r="865" spans="1:26" ht="15.75" customHeight="1">
      <c r="A865" s="87"/>
      <c r="B865" s="87"/>
      <c r="C865" s="87"/>
      <c r="D865" s="87"/>
      <c r="E865" s="87"/>
      <c r="F865" s="87"/>
      <c r="G865" s="87"/>
      <c r="H865" s="87"/>
      <c r="I865" s="87"/>
      <c r="J865" s="87"/>
      <c r="K865" s="87"/>
      <c r="L865" s="87"/>
      <c r="M865" s="87"/>
      <c r="N865" s="87"/>
      <c r="O865" s="87"/>
      <c r="P865" s="87"/>
      <c r="Q865" s="87"/>
      <c r="R865" s="87"/>
      <c r="S865" s="87"/>
      <c r="T865" s="87"/>
      <c r="U865" s="87"/>
      <c r="V865" s="87"/>
      <c r="W865" s="87"/>
      <c r="X865" s="87"/>
      <c r="Y865" s="87"/>
      <c r="Z865" s="87"/>
    </row>
    <row r="866" spans="1:26" ht="15.75" customHeight="1">
      <c r="A866" s="87"/>
      <c r="B866" s="87"/>
      <c r="C866" s="87"/>
      <c r="D866" s="87"/>
      <c r="E866" s="87"/>
      <c r="F866" s="87"/>
      <c r="G866" s="87"/>
      <c r="H866" s="87"/>
      <c r="I866" s="87"/>
      <c r="J866" s="87"/>
      <c r="K866" s="87"/>
      <c r="L866" s="87"/>
      <c r="M866" s="87"/>
      <c r="N866" s="87"/>
      <c r="O866" s="87"/>
      <c r="P866" s="87"/>
      <c r="Q866" s="87"/>
      <c r="R866" s="87"/>
      <c r="S866" s="87"/>
      <c r="T866" s="87"/>
      <c r="U866" s="87"/>
      <c r="V866" s="87"/>
      <c r="W866" s="87"/>
      <c r="X866" s="87"/>
      <c r="Y866" s="87"/>
      <c r="Z866" s="87"/>
    </row>
    <row r="867" spans="1:26" ht="15.75" customHeight="1">
      <c r="A867" s="87"/>
      <c r="B867" s="87"/>
      <c r="C867" s="87"/>
      <c r="D867" s="87"/>
      <c r="E867" s="87"/>
      <c r="F867" s="87"/>
      <c r="G867" s="87"/>
      <c r="H867" s="87"/>
      <c r="I867" s="87"/>
      <c r="J867" s="87"/>
      <c r="K867" s="87"/>
      <c r="L867" s="87"/>
      <c r="M867" s="87"/>
      <c r="N867" s="87"/>
      <c r="O867" s="87"/>
      <c r="P867" s="87"/>
      <c r="Q867" s="87"/>
      <c r="R867" s="87"/>
      <c r="S867" s="87"/>
      <c r="T867" s="87"/>
      <c r="U867" s="87"/>
      <c r="V867" s="87"/>
      <c r="W867" s="87"/>
      <c r="X867" s="87"/>
      <c r="Y867" s="87"/>
      <c r="Z867" s="87"/>
    </row>
    <row r="868" spans="1:26" ht="15.75" customHeight="1">
      <c r="A868" s="87"/>
      <c r="B868" s="87"/>
      <c r="C868" s="87"/>
      <c r="D868" s="87"/>
      <c r="E868" s="87"/>
      <c r="F868" s="87"/>
      <c r="G868" s="87"/>
      <c r="H868" s="87"/>
      <c r="I868" s="87"/>
      <c r="J868" s="87"/>
      <c r="K868" s="87"/>
      <c r="L868" s="87"/>
      <c r="M868" s="87"/>
      <c r="N868" s="87"/>
      <c r="O868" s="87"/>
      <c r="P868" s="87"/>
      <c r="Q868" s="87"/>
      <c r="R868" s="87"/>
      <c r="S868" s="87"/>
      <c r="T868" s="87"/>
      <c r="U868" s="87"/>
      <c r="V868" s="87"/>
      <c r="W868" s="87"/>
      <c r="X868" s="87"/>
      <c r="Y868" s="87"/>
      <c r="Z868" s="87"/>
    </row>
    <row r="869" spans="1:26" ht="15.75" customHeight="1">
      <c r="A869" s="87"/>
      <c r="B869" s="87"/>
      <c r="C869" s="87"/>
      <c r="D869" s="87"/>
      <c r="E869" s="87"/>
      <c r="F869" s="87"/>
      <c r="G869" s="87"/>
      <c r="H869" s="87"/>
      <c r="I869" s="87"/>
      <c r="J869" s="87"/>
      <c r="K869" s="87"/>
      <c r="L869" s="87"/>
      <c r="M869" s="87"/>
      <c r="N869" s="87"/>
      <c r="O869" s="87"/>
      <c r="P869" s="87"/>
      <c r="Q869" s="87"/>
      <c r="R869" s="87"/>
      <c r="S869" s="87"/>
      <c r="T869" s="87"/>
      <c r="U869" s="87"/>
      <c r="V869" s="87"/>
      <c r="W869" s="87"/>
      <c r="X869" s="87"/>
      <c r="Y869" s="87"/>
      <c r="Z869" s="87"/>
    </row>
    <row r="870" spans="1:26" ht="15.75" customHeight="1">
      <c r="A870" s="87"/>
      <c r="B870" s="87"/>
      <c r="C870" s="87"/>
      <c r="D870" s="87"/>
      <c r="E870" s="87"/>
      <c r="F870" s="87"/>
      <c r="G870" s="87"/>
      <c r="H870" s="87"/>
      <c r="I870" s="87"/>
      <c r="J870" s="87"/>
      <c r="K870" s="87"/>
      <c r="L870" s="87"/>
      <c r="M870" s="87"/>
      <c r="N870" s="87"/>
      <c r="O870" s="87"/>
      <c r="P870" s="87"/>
      <c r="Q870" s="87"/>
      <c r="R870" s="87"/>
      <c r="S870" s="87"/>
      <c r="T870" s="87"/>
      <c r="U870" s="87"/>
      <c r="V870" s="87"/>
      <c r="W870" s="87"/>
      <c r="X870" s="87"/>
      <c r="Y870" s="87"/>
      <c r="Z870" s="87"/>
    </row>
    <row r="871" spans="1:26" ht="15.75" customHeight="1">
      <c r="A871" s="87"/>
      <c r="B871" s="87"/>
      <c r="C871" s="87"/>
      <c r="D871" s="87"/>
      <c r="E871" s="87"/>
      <c r="F871" s="87"/>
      <c r="G871" s="87"/>
      <c r="H871" s="87"/>
      <c r="I871" s="87"/>
      <c r="J871" s="87"/>
      <c r="K871" s="87"/>
      <c r="L871" s="87"/>
      <c r="M871" s="87"/>
      <c r="N871" s="87"/>
      <c r="O871" s="87"/>
      <c r="P871" s="87"/>
      <c r="Q871" s="87"/>
      <c r="R871" s="87"/>
      <c r="S871" s="87"/>
      <c r="T871" s="87"/>
      <c r="U871" s="87"/>
      <c r="V871" s="87"/>
      <c r="W871" s="87"/>
      <c r="X871" s="87"/>
      <c r="Y871" s="87"/>
      <c r="Z871" s="87"/>
    </row>
    <row r="872" spans="1:26" ht="15.75" customHeight="1">
      <c r="A872" s="87"/>
      <c r="B872" s="87"/>
      <c r="C872" s="87"/>
      <c r="D872" s="87"/>
      <c r="E872" s="87"/>
      <c r="F872" s="87"/>
      <c r="G872" s="87"/>
      <c r="H872" s="87"/>
      <c r="I872" s="87"/>
      <c r="J872" s="87"/>
      <c r="K872" s="87"/>
      <c r="L872" s="87"/>
      <c r="M872" s="87"/>
      <c r="N872" s="87"/>
      <c r="O872" s="87"/>
      <c r="P872" s="87"/>
      <c r="Q872" s="87"/>
      <c r="R872" s="87"/>
      <c r="S872" s="87"/>
      <c r="T872" s="87"/>
      <c r="U872" s="87"/>
      <c r="V872" s="87"/>
      <c r="W872" s="87"/>
      <c r="X872" s="87"/>
      <c r="Y872" s="87"/>
      <c r="Z872" s="87"/>
    </row>
    <row r="873" spans="1:26" ht="15.75" customHeight="1">
      <c r="A873" s="87"/>
      <c r="B873" s="87"/>
      <c r="C873" s="87"/>
      <c r="D873" s="87"/>
      <c r="E873" s="87"/>
      <c r="F873" s="87"/>
      <c r="G873" s="87"/>
      <c r="H873" s="87"/>
      <c r="I873" s="87"/>
      <c r="J873" s="87"/>
      <c r="K873" s="87"/>
      <c r="L873" s="87"/>
      <c r="M873" s="87"/>
      <c r="N873" s="87"/>
      <c r="O873" s="87"/>
      <c r="P873" s="87"/>
      <c r="Q873" s="87"/>
      <c r="R873" s="87"/>
      <c r="S873" s="87"/>
      <c r="T873" s="87"/>
      <c r="U873" s="87"/>
      <c r="V873" s="87"/>
      <c r="W873" s="87"/>
      <c r="X873" s="87"/>
      <c r="Y873" s="87"/>
      <c r="Z873" s="87"/>
    </row>
    <row r="874" spans="1:26" ht="15.75" customHeight="1">
      <c r="A874" s="87"/>
      <c r="B874" s="87"/>
      <c r="C874" s="87"/>
      <c r="D874" s="87"/>
      <c r="E874" s="87"/>
      <c r="F874" s="87"/>
      <c r="G874" s="87"/>
      <c r="H874" s="87"/>
      <c r="I874" s="87"/>
      <c r="J874" s="87"/>
      <c r="K874" s="87"/>
      <c r="L874" s="87"/>
      <c r="M874" s="87"/>
      <c r="N874" s="87"/>
      <c r="O874" s="87"/>
      <c r="P874" s="87"/>
      <c r="Q874" s="87"/>
      <c r="R874" s="87"/>
      <c r="S874" s="87"/>
      <c r="T874" s="87"/>
      <c r="U874" s="87"/>
      <c r="V874" s="87"/>
      <c r="W874" s="87"/>
      <c r="X874" s="87"/>
      <c r="Y874" s="87"/>
      <c r="Z874" s="87"/>
    </row>
    <row r="875" spans="1:26" ht="15.75" customHeight="1">
      <c r="A875" s="87"/>
      <c r="B875" s="87"/>
      <c r="C875" s="87"/>
      <c r="D875" s="87"/>
      <c r="E875" s="87"/>
      <c r="F875" s="87"/>
      <c r="G875" s="87"/>
      <c r="H875" s="87"/>
      <c r="I875" s="87"/>
      <c r="J875" s="87"/>
      <c r="K875" s="87"/>
      <c r="L875" s="87"/>
      <c r="M875" s="87"/>
      <c r="N875" s="87"/>
      <c r="O875" s="87"/>
      <c r="P875" s="87"/>
      <c r="Q875" s="87"/>
      <c r="R875" s="87"/>
      <c r="S875" s="87"/>
      <c r="T875" s="87"/>
      <c r="U875" s="87"/>
      <c r="V875" s="87"/>
      <c r="W875" s="87"/>
      <c r="X875" s="87"/>
      <c r="Y875" s="87"/>
      <c r="Z875" s="87"/>
    </row>
    <row r="876" spans="1:26" ht="15.75" customHeight="1">
      <c r="A876" s="87"/>
      <c r="B876" s="87"/>
      <c r="C876" s="87"/>
      <c r="D876" s="87"/>
      <c r="E876" s="87"/>
      <c r="F876" s="87"/>
      <c r="G876" s="87"/>
      <c r="H876" s="87"/>
      <c r="I876" s="87"/>
      <c r="J876" s="87"/>
      <c r="K876" s="87"/>
      <c r="L876" s="87"/>
      <c r="M876" s="87"/>
      <c r="N876" s="87"/>
      <c r="O876" s="87"/>
      <c r="P876" s="87"/>
      <c r="Q876" s="87"/>
      <c r="R876" s="87"/>
      <c r="S876" s="87"/>
      <c r="T876" s="87"/>
      <c r="U876" s="87"/>
      <c r="V876" s="87"/>
      <c r="W876" s="87"/>
      <c r="X876" s="87"/>
      <c r="Y876" s="87"/>
      <c r="Z876" s="87"/>
    </row>
    <row r="877" spans="1:26" ht="15.75" customHeight="1">
      <c r="A877" s="87"/>
      <c r="B877" s="87"/>
      <c r="C877" s="87"/>
      <c r="D877" s="87"/>
      <c r="E877" s="87"/>
      <c r="F877" s="87"/>
      <c r="G877" s="87"/>
      <c r="H877" s="87"/>
      <c r="I877" s="87"/>
      <c r="J877" s="87"/>
      <c r="K877" s="87"/>
      <c r="L877" s="87"/>
      <c r="M877" s="87"/>
      <c r="N877" s="87"/>
      <c r="O877" s="87"/>
      <c r="P877" s="87"/>
      <c r="Q877" s="87"/>
      <c r="R877" s="87"/>
      <c r="S877" s="87"/>
      <c r="T877" s="87"/>
      <c r="U877" s="87"/>
      <c r="V877" s="87"/>
      <c r="W877" s="87"/>
      <c r="X877" s="87"/>
      <c r="Y877" s="87"/>
      <c r="Z877" s="87"/>
    </row>
    <row r="878" spans="1:26" ht="15.75" customHeight="1">
      <c r="A878" s="87"/>
      <c r="B878" s="87"/>
      <c r="C878" s="87"/>
      <c r="D878" s="87"/>
      <c r="E878" s="87"/>
      <c r="F878" s="87"/>
      <c r="G878" s="87"/>
      <c r="H878" s="87"/>
      <c r="I878" s="87"/>
      <c r="J878" s="87"/>
      <c r="K878" s="87"/>
      <c r="L878" s="87"/>
      <c r="M878" s="87"/>
      <c r="N878" s="87"/>
      <c r="O878" s="87"/>
      <c r="P878" s="87"/>
      <c r="Q878" s="87"/>
      <c r="R878" s="87"/>
      <c r="S878" s="87"/>
      <c r="T878" s="87"/>
      <c r="U878" s="87"/>
      <c r="V878" s="87"/>
      <c r="W878" s="87"/>
      <c r="X878" s="87"/>
      <c r="Y878" s="87"/>
      <c r="Z878" s="87"/>
    </row>
    <row r="879" spans="1:26" ht="15.75" customHeight="1">
      <c r="A879" s="87"/>
      <c r="B879" s="87"/>
      <c r="C879" s="87"/>
      <c r="D879" s="87"/>
      <c r="E879" s="87"/>
      <c r="F879" s="87"/>
      <c r="G879" s="87"/>
      <c r="H879" s="87"/>
      <c r="I879" s="87"/>
      <c r="J879" s="87"/>
      <c r="K879" s="87"/>
      <c r="L879" s="87"/>
      <c r="M879" s="87"/>
      <c r="N879" s="87"/>
      <c r="O879" s="87"/>
      <c r="P879" s="87"/>
      <c r="Q879" s="87"/>
      <c r="R879" s="87"/>
      <c r="S879" s="87"/>
      <c r="T879" s="87"/>
      <c r="U879" s="87"/>
      <c r="V879" s="87"/>
      <c r="W879" s="87"/>
      <c r="X879" s="87"/>
      <c r="Y879" s="87"/>
      <c r="Z879" s="87"/>
    </row>
    <row r="880" spans="1:26" ht="15.75" customHeight="1">
      <c r="A880" s="87"/>
      <c r="B880" s="87"/>
      <c r="C880" s="87"/>
      <c r="D880" s="87"/>
      <c r="E880" s="87"/>
      <c r="F880" s="87"/>
      <c r="G880" s="87"/>
      <c r="H880" s="87"/>
      <c r="I880" s="87"/>
      <c r="J880" s="87"/>
      <c r="K880" s="87"/>
      <c r="L880" s="87"/>
      <c r="M880" s="87"/>
      <c r="N880" s="87"/>
      <c r="O880" s="87"/>
      <c r="P880" s="87"/>
      <c r="Q880" s="87"/>
      <c r="R880" s="87"/>
      <c r="S880" s="87"/>
      <c r="T880" s="87"/>
      <c r="U880" s="87"/>
      <c r="V880" s="87"/>
      <c r="W880" s="87"/>
      <c r="X880" s="87"/>
      <c r="Y880" s="87"/>
      <c r="Z880" s="87"/>
    </row>
    <row r="881" spans="1:26" ht="15.75" customHeight="1">
      <c r="A881" s="87"/>
      <c r="B881" s="87"/>
      <c r="C881" s="87"/>
      <c r="D881" s="87"/>
      <c r="E881" s="87"/>
      <c r="F881" s="87"/>
      <c r="G881" s="87"/>
      <c r="H881" s="87"/>
      <c r="I881" s="87"/>
      <c r="J881" s="87"/>
      <c r="K881" s="87"/>
      <c r="L881" s="87"/>
      <c r="M881" s="87"/>
      <c r="N881" s="87"/>
      <c r="O881" s="87"/>
      <c r="P881" s="87"/>
      <c r="Q881" s="87"/>
      <c r="R881" s="87"/>
      <c r="S881" s="87"/>
      <c r="T881" s="87"/>
      <c r="U881" s="87"/>
      <c r="V881" s="87"/>
      <c r="W881" s="87"/>
      <c r="X881" s="87"/>
      <c r="Y881" s="87"/>
      <c r="Z881" s="87"/>
    </row>
    <row r="882" spans="1:26" ht="15.75" customHeight="1">
      <c r="A882" s="87"/>
      <c r="B882" s="87"/>
      <c r="C882" s="87"/>
      <c r="D882" s="87"/>
      <c r="E882" s="87"/>
      <c r="F882" s="87"/>
      <c r="G882" s="87"/>
      <c r="H882" s="87"/>
      <c r="I882" s="87"/>
      <c r="J882" s="87"/>
      <c r="K882" s="87"/>
      <c r="L882" s="87"/>
      <c r="M882" s="87"/>
      <c r="N882" s="87"/>
      <c r="O882" s="87"/>
      <c r="P882" s="87"/>
      <c r="Q882" s="87"/>
      <c r="R882" s="87"/>
      <c r="S882" s="87"/>
      <c r="T882" s="87"/>
      <c r="U882" s="87"/>
      <c r="V882" s="87"/>
      <c r="W882" s="87"/>
      <c r="X882" s="87"/>
      <c r="Y882" s="87"/>
      <c r="Z882" s="87"/>
    </row>
    <row r="883" spans="1:26" ht="15.75" customHeight="1">
      <c r="A883" s="87"/>
      <c r="B883" s="87"/>
      <c r="C883" s="87"/>
      <c r="D883" s="87"/>
      <c r="E883" s="87"/>
      <c r="F883" s="87"/>
      <c r="G883" s="87"/>
      <c r="H883" s="87"/>
      <c r="I883" s="87"/>
      <c r="J883" s="87"/>
      <c r="K883" s="87"/>
      <c r="L883" s="87"/>
      <c r="M883" s="87"/>
      <c r="N883" s="87"/>
      <c r="O883" s="87"/>
      <c r="P883" s="87"/>
      <c r="Q883" s="87"/>
      <c r="R883" s="87"/>
      <c r="S883" s="87"/>
      <c r="T883" s="87"/>
      <c r="U883" s="87"/>
      <c r="V883" s="87"/>
      <c r="W883" s="87"/>
      <c r="X883" s="87"/>
      <c r="Y883" s="87"/>
      <c r="Z883" s="87"/>
    </row>
    <row r="884" spans="1:26" ht="15.75" customHeight="1">
      <c r="A884" s="87"/>
      <c r="B884" s="87"/>
      <c r="C884" s="87"/>
      <c r="D884" s="87"/>
      <c r="E884" s="87"/>
      <c r="F884" s="87"/>
      <c r="G884" s="87"/>
      <c r="H884" s="87"/>
      <c r="I884" s="87"/>
      <c r="J884" s="87"/>
      <c r="K884" s="87"/>
      <c r="L884" s="87"/>
      <c r="M884" s="87"/>
      <c r="N884" s="87"/>
      <c r="O884" s="87"/>
      <c r="P884" s="87"/>
      <c r="Q884" s="87"/>
      <c r="R884" s="87"/>
      <c r="S884" s="87"/>
      <c r="T884" s="87"/>
      <c r="U884" s="87"/>
      <c r="V884" s="87"/>
      <c r="W884" s="87"/>
      <c r="X884" s="87"/>
      <c r="Y884" s="87"/>
      <c r="Z884" s="87"/>
    </row>
    <row r="885" spans="1:26" ht="15.75" customHeight="1">
      <c r="A885" s="87"/>
      <c r="B885" s="87"/>
      <c r="C885" s="87"/>
      <c r="D885" s="87"/>
      <c r="E885" s="87"/>
      <c r="F885" s="87"/>
      <c r="G885" s="87"/>
      <c r="H885" s="87"/>
      <c r="I885" s="87"/>
      <c r="J885" s="87"/>
      <c r="K885" s="87"/>
      <c r="L885" s="87"/>
      <c r="M885" s="87"/>
      <c r="N885" s="87"/>
      <c r="O885" s="87"/>
      <c r="P885" s="87"/>
      <c r="Q885" s="87"/>
      <c r="R885" s="87"/>
      <c r="S885" s="87"/>
      <c r="T885" s="87"/>
      <c r="U885" s="87"/>
      <c r="V885" s="87"/>
      <c r="W885" s="87"/>
      <c r="X885" s="87"/>
      <c r="Y885" s="87"/>
      <c r="Z885" s="87"/>
    </row>
    <row r="886" spans="1:26" ht="15.75" customHeight="1">
      <c r="A886" s="87"/>
      <c r="B886" s="87"/>
      <c r="C886" s="87"/>
      <c r="D886" s="87"/>
      <c r="E886" s="87"/>
      <c r="F886" s="87"/>
      <c r="G886" s="87"/>
      <c r="H886" s="87"/>
      <c r="I886" s="87"/>
      <c r="J886" s="87"/>
      <c r="K886" s="87"/>
      <c r="L886" s="87"/>
      <c r="M886" s="87"/>
      <c r="N886" s="87"/>
      <c r="O886" s="87"/>
      <c r="P886" s="87"/>
      <c r="Q886" s="87"/>
      <c r="R886" s="87"/>
      <c r="S886" s="87"/>
      <c r="T886" s="87"/>
      <c r="U886" s="87"/>
      <c r="V886" s="87"/>
      <c r="W886" s="87"/>
      <c r="X886" s="87"/>
      <c r="Y886" s="87"/>
      <c r="Z886" s="87"/>
    </row>
    <row r="887" spans="1:26" ht="15.75" customHeight="1">
      <c r="A887" s="87"/>
      <c r="B887" s="87"/>
      <c r="C887" s="87"/>
      <c r="D887" s="87"/>
      <c r="E887" s="87"/>
      <c r="F887" s="87"/>
      <c r="G887" s="87"/>
      <c r="H887" s="87"/>
      <c r="I887" s="87"/>
      <c r="J887" s="87"/>
      <c r="K887" s="87"/>
      <c r="L887" s="87"/>
      <c r="M887" s="87"/>
      <c r="N887" s="87"/>
      <c r="O887" s="87"/>
      <c r="P887" s="87"/>
      <c r="Q887" s="87"/>
      <c r="R887" s="87"/>
      <c r="S887" s="87"/>
      <c r="T887" s="87"/>
      <c r="U887" s="87"/>
      <c r="V887" s="87"/>
      <c r="W887" s="87"/>
      <c r="X887" s="87"/>
      <c r="Y887" s="87"/>
      <c r="Z887" s="87"/>
    </row>
    <row r="888" spans="1:26" ht="15.75" customHeight="1">
      <c r="A888" s="87"/>
      <c r="B888" s="87"/>
      <c r="C888" s="87"/>
      <c r="D888" s="87"/>
      <c r="E888" s="87"/>
      <c r="F888" s="87"/>
      <c r="G888" s="87"/>
      <c r="H888" s="87"/>
      <c r="I888" s="87"/>
      <c r="J888" s="87"/>
      <c r="K888" s="87"/>
      <c r="L888" s="87"/>
      <c r="M888" s="87"/>
      <c r="N888" s="87"/>
      <c r="O888" s="87"/>
      <c r="P888" s="87"/>
      <c r="Q888" s="87"/>
      <c r="R888" s="87"/>
      <c r="S888" s="87"/>
      <c r="T888" s="87"/>
      <c r="U888" s="87"/>
      <c r="V888" s="87"/>
      <c r="W888" s="87"/>
      <c r="X888" s="87"/>
      <c r="Y888" s="87"/>
      <c r="Z888" s="87"/>
    </row>
    <row r="889" spans="1:26" ht="15.75" customHeight="1">
      <c r="A889" s="87"/>
      <c r="B889" s="87"/>
      <c r="C889" s="87"/>
      <c r="D889" s="87"/>
      <c r="E889" s="87"/>
      <c r="F889" s="87"/>
      <c r="G889" s="87"/>
      <c r="H889" s="87"/>
      <c r="I889" s="87"/>
      <c r="J889" s="87"/>
      <c r="K889" s="87"/>
      <c r="L889" s="87"/>
      <c r="M889" s="87"/>
      <c r="N889" s="87"/>
      <c r="O889" s="87"/>
      <c r="P889" s="87"/>
      <c r="Q889" s="87"/>
      <c r="R889" s="87"/>
      <c r="S889" s="87"/>
      <c r="T889" s="87"/>
      <c r="U889" s="87"/>
      <c r="V889" s="87"/>
      <c r="W889" s="87"/>
      <c r="X889" s="87"/>
      <c r="Y889" s="87"/>
      <c r="Z889" s="87"/>
    </row>
    <row r="890" spans="1:26" ht="15.75" customHeight="1">
      <c r="A890" s="87"/>
      <c r="B890" s="87"/>
      <c r="C890" s="87"/>
      <c r="D890" s="87"/>
      <c r="E890" s="87"/>
      <c r="F890" s="87"/>
      <c r="G890" s="87"/>
      <c r="H890" s="87"/>
      <c r="I890" s="87"/>
      <c r="J890" s="87"/>
      <c r="K890" s="87"/>
      <c r="L890" s="87"/>
      <c r="M890" s="87"/>
      <c r="N890" s="87"/>
      <c r="O890" s="87"/>
      <c r="P890" s="87"/>
      <c r="Q890" s="87"/>
      <c r="R890" s="87"/>
      <c r="S890" s="87"/>
      <c r="T890" s="87"/>
      <c r="U890" s="87"/>
      <c r="V890" s="87"/>
      <c r="W890" s="87"/>
      <c r="X890" s="87"/>
      <c r="Y890" s="87"/>
      <c r="Z890" s="87"/>
    </row>
    <row r="891" spans="1:26" ht="15.75" customHeight="1">
      <c r="A891" s="87"/>
      <c r="B891" s="87"/>
      <c r="C891" s="87"/>
      <c r="D891" s="87"/>
      <c r="E891" s="87"/>
      <c r="F891" s="87"/>
      <c r="G891" s="87"/>
      <c r="H891" s="87"/>
      <c r="I891" s="87"/>
      <c r="J891" s="87"/>
      <c r="K891" s="87"/>
      <c r="L891" s="87"/>
      <c r="M891" s="87"/>
      <c r="N891" s="87"/>
      <c r="O891" s="87"/>
      <c r="P891" s="87"/>
      <c r="Q891" s="87"/>
      <c r="R891" s="87"/>
      <c r="S891" s="87"/>
      <c r="T891" s="87"/>
      <c r="U891" s="87"/>
      <c r="V891" s="87"/>
      <c r="W891" s="87"/>
      <c r="X891" s="87"/>
      <c r="Y891" s="87"/>
      <c r="Z891" s="87"/>
    </row>
    <row r="892" spans="1:26" ht="15.75" customHeight="1">
      <c r="A892" s="87"/>
      <c r="B892" s="87"/>
      <c r="C892" s="87"/>
      <c r="D892" s="87"/>
      <c r="E892" s="87"/>
      <c r="F892" s="87"/>
      <c r="G892" s="87"/>
      <c r="H892" s="87"/>
      <c r="I892" s="87"/>
      <c r="J892" s="87"/>
      <c r="K892" s="87"/>
      <c r="L892" s="87"/>
      <c r="M892" s="87"/>
      <c r="N892" s="87"/>
      <c r="O892" s="87"/>
      <c r="P892" s="87"/>
      <c r="Q892" s="87"/>
      <c r="R892" s="87"/>
      <c r="S892" s="87"/>
      <c r="T892" s="87"/>
      <c r="U892" s="87"/>
      <c r="V892" s="87"/>
      <c r="W892" s="87"/>
      <c r="X892" s="87"/>
      <c r="Y892" s="87"/>
      <c r="Z892" s="87"/>
    </row>
    <row r="893" spans="1:26" ht="15.75" customHeight="1">
      <c r="A893" s="87"/>
      <c r="B893" s="87"/>
      <c r="C893" s="87"/>
      <c r="D893" s="87"/>
      <c r="E893" s="87"/>
      <c r="F893" s="87"/>
      <c r="G893" s="87"/>
      <c r="H893" s="87"/>
      <c r="I893" s="87"/>
      <c r="J893" s="87"/>
      <c r="K893" s="87"/>
      <c r="L893" s="87"/>
      <c r="M893" s="87"/>
      <c r="N893" s="87"/>
      <c r="O893" s="87"/>
      <c r="P893" s="87"/>
      <c r="Q893" s="87"/>
      <c r="R893" s="87"/>
      <c r="S893" s="87"/>
      <c r="T893" s="87"/>
      <c r="U893" s="87"/>
      <c r="V893" s="87"/>
      <c r="W893" s="87"/>
      <c r="X893" s="87"/>
      <c r="Y893" s="87"/>
      <c r="Z893" s="87"/>
    </row>
    <row r="894" spans="1:26" ht="15.75" customHeight="1">
      <c r="A894" s="87"/>
      <c r="B894" s="87"/>
      <c r="C894" s="87"/>
      <c r="D894" s="87"/>
      <c r="E894" s="87"/>
      <c r="F894" s="87"/>
      <c r="G894" s="87"/>
      <c r="H894" s="87"/>
      <c r="I894" s="87"/>
      <c r="J894" s="87"/>
      <c r="K894" s="87"/>
      <c r="L894" s="87"/>
      <c r="M894" s="87"/>
      <c r="N894" s="87"/>
      <c r="O894" s="87"/>
      <c r="P894" s="87"/>
      <c r="Q894" s="87"/>
      <c r="R894" s="87"/>
      <c r="S894" s="87"/>
      <c r="T894" s="87"/>
      <c r="U894" s="87"/>
      <c r="V894" s="87"/>
      <c r="W894" s="87"/>
      <c r="X894" s="87"/>
      <c r="Y894" s="87"/>
      <c r="Z894" s="87"/>
    </row>
    <row r="895" spans="1:26" ht="15.75" customHeight="1">
      <c r="A895" s="87"/>
      <c r="B895" s="87"/>
      <c r="C895" s="87"/>
      <c r="D895" s="87"/>
      <c r="E895" s="87"/>
      <c r="F895" s="87"/>
      <c r="G895" s="87"/>
      <c r="H895" s="87"/>
      <c r="I895" s="87"/>
      <c r="J895" s="87"/>
      <c r="K895" s="87"/>
      <c r="L895" s="87"/>
      <c r="M895" s="87"/>
      <c r="N895" s="87"/>
      <c r="O895" s="87"/>
      <c r="P895" s="87"/>
      <c r="Q895" s="87"/>
      <c r="R895" s="87"/>
      <c r="S895" s="87"/>
      <c r="T895" s="87"/>
      <c r="U895" s="87"/>
      <c r="V895" s="87"/>
      <c r="W895" s="87"/>
      <c r="X895" s="87"/>
      <c r="Y895" s="87"/>
      <c r="Z895" s="87"/>
    </row>
    <row r="896" spans="1:26" ht="15.75" customHeight="1">
      <c r="A896" s="87"/>
      <c r="B896" s="87"/>
      <c r="C896" s="87"/>
      <c r="D896" s="87"/>
      <c r="E896" s="87"/>
      <c r="F896" s="87"/>
      <c r="G896" s="87"/>
      <c r="H896" s="87"/>
      <c r="I896" s="87"/>
      <c r="J896" s="87"/>
      <c r="K896" s="87"/>
      <c r="L896" s="87"/>
      <c r="M896" s="87"/>
      <c r="N896" s="87"/>
      <c r="O896" s="87"/>
      <c r="P896" s="87"/>
      <c r="Q896" s="87"/>
      <c r="R896" s="87"/>
      <c r="S896" s="87"/>
      <c r="T896" s="87"/>
      <c r="U896" s="87"/>
      <c r="V896" s="87"/>
      <c r="W896" s="87"/>
      <c r="X896" s="87"/>
      <c r="Y896" s="87"/>
      <c r="Z896" s="87"/>
    </row>
    <row r="897" spans="1:26" ht="15.75" customHeight="1">
      <c r="A897" s="87"/>
      <c r="B897" s="87"/>
      <c r="C897" s="87"/>
      <c r="D897" s="87"/>
      <c r="E897" s="87"/>
      <c r="F897" s="87"/>
      <c r="G897" s="87"/>
      <c r="H897" s="87"/>
      <c r="I897" s="87"/>
      <c r="J897" s="87"/>
      <c r="K897" s="87"/>
      <c r="L897" s="87"/>
      <c r="M897" s="87"/>
      <c r="N897" s="87"/>
      <c r="O897" s="87"/>
      <c r="P897" s="87"/>
      <c r="Q897" s="87"/>
      <c r="R897" s="87"/>
      <c r="S897" s="87"/>
      <c r="T897" s="87"/>
      <c r="U897" s="87"/>
      <c r="V897" s="87"/>
      <c r="W897" s="87"/>
      <c r="X897" s="87"/>
      <c r="Y897" s="87"/>
      <c r="Z897" s="87"/>
    </row>
    <row r="898" spans="1:26" ht="15.75" customHeight="1">
      <c r="A898" s="87"/>
      <c r="B898" s="87"/>
      <c r="C898" s="87"/>
      <c r="D898" s="87"/>
      <c r="E898" s="87"/>
      <c r="F898" s="87"/>
      <c r="G898" s="87"/>
      <c r="H898" s="87"/>
      <c r="I898" s="87"/>
      <c r="J898" s="87"/>
      <c r="K898" s="87"/>
      <c r="L898" s="87"/>
      <c r="M898" s="87"/>
      <c r="N898" s="87"/>
      <c r="O898" s="87"/>
      <c r="P898" s="87"/>
      <c r="Q898" s="87"/>
      <c r="R898" s="87"/>
      <c r="S898" s="87"/>
      <c r="T898" s="87"/>
      <c r="U898" s="87"/>
      <c r="V898" s="87"/>
      <c r="W898" s="87"/>
      <c r="X898" s="87"/>
      <c r="Y898" s="87"/>
      <c r="Z898" s="87"/>
    </row>
    <row r="899" spans="1:26" ht="15.75" customHeight="1">
      <c r="A899" s="87"/>
      <c r="B899" s="87"/>
      <c r="C899" s="87"/>
      <c r="D899" s="87"/>
      <c r="E899" s="87"/>
      <c r="F899" s="87"/>
      <c r="G899" s="87"/>
      <c r="H899" s="87"/>
      <c r="I899" s="87"/>
      <c r="J899" s="87"/>
      <c r="K899" s="87"/>
      <c r="L899" s="87"/>
      <c r="M899" s="87"/>
      <c r="N899" s="87"/>
      <c r="O899" s="87"/>
      <c r="P899" s="87"/>
      <c r="Q899" s="87"/>
      <c r="R899" s="87"/>
      <c r="S899" s="87"/>
      <c r="T899" s="87"/>
      <c r="U899" s="87"/>
      <c r="V899" s="87"/>
      <c r="W899" s="87"/>
      <c r="X899" s="87"/>
      <c r="Y899" s="87"/>
      <c r="Z899" s="87"/>
    </row>
    <row r="900" spans="1:26" ht="15.75" customHeight="1">
      <c r="A900" s="87"/>
      <c r="B900" s="87"/>
      <c r="C900" s="87"/>
      <c r="D900" s="87"/>
      <c r="E900" s="87"/>
      <c r="F900" s="87"/>
      <c r="G900" s="87"/>
      <c r="H900" s="87"/>
      <c r="I900" s="87"/>
      <c r="J900" s="87"/>
      <c r="K900" s="87"/>
      <c r="L900" s="87"/>
      <c r="M900" s="87"/>
      <c r="N900" s="87"/>
      <c r="O900" s="87"/>
      <c r="P900" s="87"/>
      <c r="Q900" s="87"/>
      <c r="R900" s="87"/>
      <c r="S900" s="87"/>
      <c r="T900" s="87"/>
      <c r="U900" s="87"/>
      <c r="V900" s="87"/>
      <c r="W900" s="87"/>
      <c r="X900" s="87"/>
      <c r="Y900" s="87"/>
      <c r="Z900" s="87"/>
    </row>
    <row r="901" spans="1:26" ht="15.75" customHeight="1">
      <c r="A901" s="87"/>
      <c r="B901" s="87"/>
      <c r="C901" s="87"/>
      <c r="D901" s="87"/>
      <c r="E901" s="87"/>
      <c r="F901" s="87"/>
      <c r="G901" s="87"/>
      <c r="H901" s="87"/>
      <c r="I901" s="87"/>
      <c r="J901" s="87"/>
      <c r="K901" s="87"/>
      <c r="L901" s="87"/>
      <c r="M901" s="87"/>
      <c r="N901" s="87"/>
      <c r="O901" s="87"/>
      <c r="P901" s="87"/>
      <c r="Q901" s="87"/>
      <c r="R901" s="87"/>
      <c r="S901" s="87"/>
      <c r="T901" s="87"/>
      <c r="U901" s="87"/>
      <c r="V901" s="87"/>
      <c r="W901" s="87"/>
      <c r="X901" s="87"/>
      <c r="Y901" s="87"/>
      <c r="Z901" s="87"/>
    </row>
    <row r="902" spans="1:26" ht="15.75" customHeight="1">
      <c r="A902" s="87"/>
      <c r="B902" s="87"/>
      <c r="C902" s="87"/>
      <c r="D902" s="87"/>
      <c r="E902" s="87"/>
      <c r="F902" s="87"/>
      <c r="G902" s="87"/>
      <c r="H902" s="87"/>
      <c r="I902" s="87"/>
      <c r="J902" s="87"/>
      <c r="K902" s="87"/>
      <c r="L902" s="87"/>
      <c r="M902" s="87"/>
      <c r="N902" s="87"/>
      <c r="O902" s="87"/>
      <c r="P902" s="87"/>
      <c r="Q902" s="87"/>
      <c r="R902" s="87"/>
      <c r="S902" s="87"/>
      <c r="T902" s="87"/>
      <c r="U902" s="87"/>
      <c r="V902" s="87"/>
      <c r="W902" s="87"/>
      <c r="X902" s="87"/>
      <c r="Y902" s="87"/>
      <c r="Z902" s="87"/>
    </row>
    <row r="903" spans="1:26" ht="15.75" customHeight="1">
      <c r="A903" s="87"/>
      <c r="B903" s="87"/>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row>
    <row r="904" spans="1:26" ht="15.75" customHeight="1">
      <c r="A904" s="87"/>
      <c r="B904" s="87"/>
      <c r="C904" s="87"/>
      <c r="D904" s="87"/>
      <c r="E904" s="87"/>
      <c r="F904" s="87"/>
      <c r="G904" s="87"/>
      <c r="H904" s="87"/>
      <c r="I904" s="87"/>
      <c r="J904" s="87"/>
      <c r="K904" s="87"/>
      <c r="L904" s="87"/>
      <c r="M904" s="87"/>
      <c r="N904" s="87"/>
      <c r="O904" s="87"/>
      <c r="P904" s="87"/>
      <c r="Q904" s="87"/>
      <c r="R904" s="87"/>
      <c r="S904" s="87"/>
      <c r="T904" s="87"/>
      <c r="U904" s="87"/>
      <c r="V904" s="87"/>
      <c r="W904" s="87"/>
      <c r="X904" s="87"/>
      <c r="Y904" s="87"/>
      <c r="Z904" s="87"/>
    </row>
    <row r="905" spans="1:26" ht="15.75" customHeight="1">
      <c r="A905" s="87"/>
      <c r="B905" s="87"/>
      <c r="C905" s="87"/>
      <c r="D905" s="87"/>
      <c r="E905" s="87"/>
      <c r="F905" s="87"/>
      <c r="G905" s="87"/>
      <c r="H905" s="87"/>
      <c r="I905" s="87"/>
      <c r="J905" s="87"/>
      <c r="K905" s="87"/>
      <c r="L905" s="87"/>
      <c r="M905" s="87"/>
      <c r="N905" s="87"/>
      <c r="O905" s="87"/>
      <c r="P905" s="87"/>
      <c r="Q905" s="87"/>
      <c r="R905" s="87"/>
      <c r="S905" s="87"/>
      <c r="T905" s="87"/>
      <c r="U905" s="87"/>
      <c r="V905" s="87"/>
      <c r="W905" s="87"/>
      <c r="X905" s="87"/>
      <c r="Y905" s="87"/>
      <c r="Z905" s="87"/>
    </row>
    <row r="906" spans="1:26" ht="15.75" customHeight="1">
      <c r="A906" s="87"/>
      <c r="B906" s="87"/>
      <c r="C906" s="87"/>
      <c r="D906" s="87"/>
      <c r="E906" s="87"/>
      <c r="F906" s="87"/>
      <c r="G906" s="87"/>
      <c r="H906" s="87"/>
      <c r="I906" s="87"/>
      <c r="J906" s="87"/>
      <c r="K906" s="87"/>
      <c r="L906" s="87"/>
      <c r="M906" s="87"/>
      <c r="N906" s="87"/>
      <c r="O906" s="87"/>
      <c r="P906" s="87"/>
      <c r="Q906" s="87"/>
      <c r="R906" s="87"/>
      <c r="S906" s="87"/>
      <c r="T906" s="87"/>
      <c r="U906" s="87"/>
      <c r="V906" s="87"/>
      <c r="W906" s="87"/>
      <c r="X906" s="87"/>
      <c r="Y906" s="87"/>
      <c r="Z906" s="87"/>
    </row>
    <row r="907" spans="1:26" ht="15.75" customHeight="1">
      <c r="A907" s="87"/>
      <c r="B907" s="87"/>
      <c r="C907" s="87"/>
      <c r="D907" s="87"/>
      <c r="E907" s="87"/>
      <c r="F907" s="87"/>
      <c r="G907" s="87"/>
      <c r="H907" s="87"/>
      <c r="I907" s="87"/>
      <c r="J907" s="87"/>
      <c r="K907" s="87"/>
      <c r="L907" s="87"/>
      <c r="M907" s="87"/>
      <c r="N907" s="87"/>
      <c r="O907" s="87"/>
      <c r="P907" s="87"/>
      <c r="Q907" s="87"/>
      <c r="R907" s="87"/>
      <c r="S907" s="87"/>
      <c r="T907" s="87"/>
      <c r="U907" s="87"/>
      <c r="V907" s="87"/>
      <c r="W907" s="87"/>
      <c r="X907" s="87"/>
      <c r="Y907" s="87"/>
      <c r="Z907" s="87"/>
    </row>
    <row r="908" spans="1:26" ht="15.75" customHeight="1">
      <c r="A908" s="87"/>
      <c r="B908" s="87"/>
      <c r="C908" s="87"/>
      <c r="D908" s="87"/>
      <c r="E908" s="87"/>
      <c r="F908" s="87"/>
      <c r="G908" s="87"/>
      <c r="H908" s="87"/>
      <c r="I908" s="87"/>
      <c r="J908" s="87"/>
      <c r="K908" s="87"/>
      <c r="L908" s="87"/>
      <c r="M908" s="87"/>
      <c r="N908" s="87"/>
      <c r="O908" s="87"/>
      <c r="P908" s="87"/>
      <c r="Q908" s="87"/>
      <c r="R908" s="87"/>
      <c r="S908" s="87"/>
      <c r="T908" s="87"/>
      <c r="U908" s="87"/>
      <c r="V908" s="87"/>
      <c r="W908" s="87"/>
      <c r="X908" s="87"/>
      <c r="Y908" s="87"/>
      <c r="Z908" s="87"/>
    </row>
    <row r="909" spans="1:26" ht="15.75" customHeight="1">
      <c r="A909" s="87"/>
      <c r="B909" s="87"/>
      <c r="C909" s="87"/>
      <c r="D909" s="87"/>
      <c r="E909" s="87"/>
      <c r="F909" s="87"/>
      <c r="G909" s="87"/>
      <c r="H909" s="87"/>
      <c r="I909" s="87"/>
      <c r="J909" s="87"/>
      <c r="K909" s="87"/>
      <c r="L909" s="87"/>
      <c r="M909" s="87"/>
      <c r="N909" s="87"/>
      <c r="O909" s="87"/>
      <c r="P909" s="87"/>
      <c r="Q909" s="87"/>
      <c r="R909" s="87"/>
      <c r="S909" s="87"/>
      <c r="T909" s="87"/>
      <c r="U909" s="87"/>
      <c r="V909" s="87"/>
      <c r="W909" s="87"/>
      <c r="X909" s="87"/>
      <c r="Y909" s="87"/>
      <c r="Z909" s="87"/>
    </row>
    <row r="910" spans="1:26" ht="15.75" customHeight="1">
      <c r="A910" s="87"/>
      <c r="B910" s="87"/>
      <c r="C910" s="87"/>
      <c r="D910" s="87"/>
      <c r="E910" s="87"/>
      <c r="F910" s="87"/>
      <c r="G910" s="87"/>
      <c r="H910" s="87"/>
      <c r="I910" s="87"/>
      <c r="J910" s="87"/>
      <c r="K910" s="87"/>
      <c r="L910" s="87"/>
      <c r="M910" s="87"/>
      <c r="N910" s="87"/>
      <c r="O910" s="87"/>
      <c r="P910" s="87"/>
      <c r="Q910" s="87"/>
      <c r="R910" s="87"/>
      <c r="S910" s="87"/>
      <c r="T910" s="87"/>
      <c r="U910" s="87"/>
      <c r="V910" s="87"/>
      <c r="W910" s="87"/>
      <c r="X910" s="87"/>
      <c r="Y910" s="87"/>
      <c r="Z910" s="87"/>
    </row>
    <row r="911" spans="1:26" ht="15.75" customHeight="1">
      <c r="A911" s="87"/>
      <c r="B911" s="87"/>
      <c r="C911" s="87"/>
      <c r="D911" s="87"/>
      <c r="E911" s="87"/>
      <c r="F911" s="87"/>
      <c r="G911" s="87"/>
      <c r="H911" s="87"/>
      <c r="I911" s="87"/>
      <c r="J911" s="87"/>
      <c r="K911" s="87"/>
      <c r="L911" s="87"/>
      <c r="M911" s="87"/>
      <c r="N911" s="87"/>
      <c r="O911" s="87"/>
      <c r="P911" s="87"/>
      <c r="Q911" s="87"/>
      <c r="R911" s="87"/>
      <c r="S911" s="87"/>
      <c r="T911" s="87"/>
      <c r="U911" s="87"/>
      <c r="V911" s="87"/>
      <c r="W911" s="87"/>
      <c r="X911" s="87"/>
      <c r="Y911" s="87"/>
      <c r="Z911" s="87"/>
    </row>
    <row r="912" spans="1:26" ht="15.75" customHeight="1">
      <c r="A912" s="87"/>
      <c r="B912" s="87"/>
      <c r="C912" s="87"/>
      <c r="D912" s="87"/>
      <c r="E912" s="87"/>
      <c r="F912" s="87"/>
      <c r="G912" s="87"/>
      <c r="H912" s="87"/>
      <c r="I912" s="87"/>
      <c r="J912" s="87"/>
      <c r="K912" s="87"/>
      <c r="L912" s="87"/>
      <c r="M912" s="87"/>
      <c r="N912" s="87"/>
      <c r="O912" s="87"/>
      <c r="P912" s="87"/>
      <c r="Q912" s="87"/>
      <c r="R912" s="87"/>
      <c r="S912" s="87"/>
      <c r="T912" s="87"/>
      <c r="U912" s="87"/>
      <c r="V912" s="87"/>
      <c r="W912" s="87"/>
      <c r="X912" s="87"/>
      <c r="Y912" s="87"/>
      <c r="Z912" s="87"/>
    </row>
    <row r="913" spans="1:26" ht="15.75" customHeight="1">
      <c r="A913" s="87"/>
      <c r="B913" s="87"/>
      <c r="C913" s="87"/>
      <c r="D913" s="87"/>
      <c r="E913" s="87"/>
      <c r="F913" s="87"/>
      <c r="G913" s="87"/>
      <c r="H913" s="87"/>
      <c r="I913" s="87"/>
      <c r="J913" s="87"/>
      <c r="K913" s="87"/>
      <c r="L913" s="87"/>
      <c r="M913" s="87"/>
      <c r="N913" s="87"/>
      <c r="O913" s="87"/>
      <c r="P913" s="87"/>
      <c r="Q913" s="87"/>
      <c r="R913" s="87"/>
      <c r="S913" s="87"/>
      <c r="T913" s="87"/>
      <c r="U913" s="87"/>
      <c r="V913" s="87"/>
      <c r="W913" s="87"/>
      <c r="X913" s="87"/>
      <c r="Y913" s="87"/>
      <c r="Z913" s="87"/>
    </row>
    <row r="914" spans="1:26" ht="15.75" customHeight="1">
      <c r="A914" s="87"/>
      <c r="B914" s="87"/>
      <c r="C914" s="87"/>
      <c r="D914" s="87"/>
      <c r="E914" s="87"/>
      <c r="F914" s="87"/>
      <c r="G914" s="87"/>
      <c r="H914" s="87"/>
      <c r="I914" s="87"/>
      <c r="J914" s="87"/>
      <c r="K914" s="87"/>
      <c r="L914" s="87"/>
      <c r="M914" s="87"/>
      <c r="N914" s="87"/>
      <c r="O914" s="87"/>
      <c r="P914" s="87"/>
      <c r="Q914" s="87"/>
      <c r="R914" s="87"/>
      <c r="S914" s="87"/>
      <c r="T914" s="87"/>
      <c r="U914" s="87"/>
      <c r="V914" s="87"/>
      <c r="W914" s="87"/>
      <c r="X914" s="87"/>
      <c r="Y914" s="87"/>
      <c r="Z914" s="87"/>
    </row>
    <row r="915" spans="1:26" ht="15.75" customHeight="1">
      <c r="A915" s="87"/>
      <c r="B915" s="87"/>
      <c r="C915" s="87"/>
      <c r="D915" s="87"/>
      <c r="E915" s="87"/>
      <c r="F915" s="87"/>
      <c r="G915" s="87"/>
      <c r="H915" s="87"/>
      <c r="I915" s="87"/>
      <c r="J915" s="87"/>
      <c r="K915" s="87"/>
      <c r="L915" s="87"/>
      <c r="M915" s="87"/>
      <c r="N915" s="87"/>
      <c r="O915" s="87"/>
      <c r="P915" s="87"/>
      <c r="Q915" s="87"/>
      <c r="R915" s="87"/>
      <c r="S915" s="87"/>
      <c r="T915" s="87"/>
      <c r="U915" s="87"/>
      <c r="V915" s="87"/>
      <c r="W915" s="87"/>
      <c r="X915" s="87"/>
      <c r="Y915" s="87"/>
      <c r="Z915" s="87"/>
    </row>
    <row r="916" spans="1:26" ht="15.75" customHeight="1">
      <c r="A916" s="87"/>
      <c r="B916" s="87"/>
      <c r="C916" s="87"/>
      <c r="D916" s="87"/>
      <c r="E916" s="87"/>
      <c r="F916" s="87"/>
      <c r="G916" s="87"/>
      <c r="H916" s="87"/>
      <c r="I916" s="87"/>
      <c r="J916" s="87"/>
      <c r="K916" s="87"/>
      <c r="L916" s="87"/>
      <c r="M916" s="87"/>
      <c r="N916" s="87"/>
      <c r="O916" s="87"/>
      <c r="P916" s="87"/>
      <c r="Q916" s="87"/>
      <c r="R916" s="87"/>
      <c r="S916" s="87"/>
      <c r="T916" s="87"/>
      <c r="U916" s="87"/>
      <c r="V916" s="87"/>
      <c r="W916" s="87"/>
      <c r="X916" s="87"/>
      <c r="Y916" s="87"/>
      <c r="Z916" s="87"/>
    </row>
    <row r="917" spans="1:26" ht="15.75" customHeight="1">
      <c r="A917" s="87"/>
      <c r="B917" s="87"/>
      <c r="C917" s="87"/>
      <c r="D917" s="87"/>
      <c r="E917" s="87"/>
      <c r="F917" s="87"/>
      <c r="G917" s="87"/>
      <c r="H917" s="87"/>
      <c r="I917" s="87"/>
      <c r="J917" s="87"/>
      <c r="K917" s="87"/>
      <c r="L917" s="87"/>
      <c r="M917" s="87"/>
      <c r="N917" s="87"/>
      <c r="O917" s="87"/>
      <c r="P917" s="87"/>
      <c r="Q917" s="87"/>
      <c r="R917" s="87"/>
      <c r="S917" s="87"/>
      <c r="T917" s="87"/>
      <c r="U917" s="87"/>
      <c r="V917" s="87"/>
      <c r="W917" s="87"/>
      <c r="X917" s="87"/>
      <c r="Y917" s="87"/>
      <c r="Z917" s="87"/>
    </row>
    <row r="918" spans="1:26" ht="15.75" customHeight="1">
      <c r="A918" s="87"/>
      <c r="B918" s="87"/>
      <c r="C918" s="87"/>
      <c r="D918" s="87"/>
      <c r="E918" s="87"/>
      <c r="F918" s="87"/>
      <c r="G918" s="87"/>
      <c r="H918" s="87"/>
      <c r="I918" s="87"/>
      <c r="J918" s="87"/>
      <c r="K918" s="87"/>
      <c r="L918" s="87"/>
      <c r="M918" s="87"/>
      <c r="N918" s="87"/>
      <c r="O918" s="87"/>
      <c r="P918" s="87"/>
      <c r="Q918" s="87"/>
      <c r="R918" s="87"/>
      <c r="S918" s="87"/>
      <c r="T918" s="87"/>
      <c r="U918" s="87"/>
      <c r="V918" s="87"/>
      <c r="W918" s="87"/>
      <c r="X918" s="87"/>
      <c r="Y918" s="87"/>
      <c r="Z918" s="87"/>
    </row>
    <row r="919" spans="1:26" ht="15.75" customHeight="1">
      <c r="A919" s="87"/>
      <c r="B919" s="87"/>
      <c r="C919" s="87"/>
      <c r="D919" s="87"/>
      <c r="E919" s="87"/>
      <c r="F919" s="87"/>
      <c r="G919" s="87"/>
      <c r="H919" s="87"/>
      <c r="I919" s="87"/>
      <c r="J919" s="87"/>
      <c r="K919" s="87"/>
      <c r="L919" s="87"/>
      <c r="M919" s="87"/>
      <c r="N919" s="87"/>
      <c r="O919" s="87"/>
      <c r="P919" s="87"/>
      <c r="Q919" s="87"/>
      <c r="R919" s="87"/>
      <c r="S919" s="87"/>
      <c r="T919" s="87"/>
      <c r="U919" s="87"/>
      <c r="V919" s="87"/>
      <c r="W919" s="87"/>
      <c r="X919" s="87"/>
      <c r="Y919" s="87"/>
      <c r="Z919" s="87"/>
    </row>
    <row r="920" spans="1:26" ht="15.75" customHeight="1">
      <c r="A920" s="87"/>
      <c r="B920" s="87"/>
      <c r="C920" s="87"/>
      <c r="D920" s="87"/>
      <c r="E920" s="87"/>
      <c r="F920" s="87"/>
      <c r="G920" s="87"/>
      <c r="H920" s="87"/>
      <c r="I920" s="87"/>
      <c r="J920" s="87"/>
      <c r="K920" s="87"/>
      <c r="L920" s="87"/>
      <c r="M920" s="87"/>
      <c r="N920" s="87"/>
      <c r="O920" s="87"/>
      <c r="P920" s="87"/>
      <c r="Q920" s="87"/>
      <c r="R920" s="87"/>
      <c r="S920" s="87"/>
      <c r="T920" s="87"/>
      <c r="U920" s="87"/>
      <c r="V920" s="87"/>
      <c r="W920" s="87"/>
      <c r="X920" s="87"/>
      <c r="Y920" s="87"/>
      <c r="Z920" s="87"/>
    </row>
    <row r="921" spans="1:26" ht="15.75" customHeight="1">
      <c r="A921" s="87"/>
      <c r="B921" s="87"/>
      <c r="C921" s="87"/>
      <c r="D921" s="87"/>
      <c r="E921" s="87"/>
      <c r="F921" s="87"/>
      <c r="G921" s="87"/>
      <c r="H921" s="87"/>
      <c r="I921" s="87"/>
      <c r="J921" s="87"/>
      <c r="K921" s="87"/>
      <c r="L921" s="87"/>
      <c r="M921" s="87"/>
      <c r="N921" s="87"/>
      <c r="O921" s="87"/>
      <c r="P921" s="87"/>
      <c r="Q921" s="87"/>
      <c r="R921" s="87"/>
      <c r="S921" s="87"/>
      <c r="T921" s="87"/>
      <c r="U921" s="87"/>
      <c r="V921" s="87"/>
      <c r="W921" s="87"/>
      <c r="X921" s="87"/>
      <c r="Y921" s="87"/>
      <c r="Z921" s="87"/>
    </row>
    <row r="922" spans="1:26" ht="15.75" customHeight="1">
      <c r="A922" s="87"/>
      <c r="B922" s="87"/>
      <c r="C922" s="87"/>
      <c r="D922" s="87"/>
      <c r="E922" s="87"/>
      <c r="F922" s="87"/>
      <c r="G922" s="87"/>
      <c r="H922" s="87"/>
      <c r="I922" s="87"/>
      <c r="J922" s="87"/>
      <c r="K922" s="87"/>
      <c r="L922" s="87"/>
      <c r="M922" s="87"/>
      <c r="N922" s="87"/>
      <c r="O922" s="87"/>
      <c r="P922" s="87"/>
      <c r="Q922" s="87"/>
      <c r="R922" s="87"/>
      <c r="S922" s="87"/>
      <c r="T922" s="87"/>
      <c r="U922" s="87"/>
      <c r="V922" s="87"/>
      <c r="W922" s="87"/>
      <c r="X922" s="87"/>
      <c r="Y922" s="87"/>
      <c r="Z922" s="87"/>
    </row>
    <row r="923" spans="1:26" ht="15.75" customHeight="1">
      <c r="A923" s="87"/>
      <c r="B923" s="87"/>
      <c r="C923" s="87"/>
      <c r="D923" s="87"/>
      <c r="E923" s="87"/>
      <c r="F923" s="87"/>
      <c r="G923" s="87"/>
      <c r="H923" s="87"/>
      <c r="I923" s="87"/>
      <c r="J923" s="87"/>
      <c r="K923" s="87"/>
      <c r="L923" s="87"/>
      <c r="M923" s="87"/>
      <c r="N923" s="87"/>
      <c r="O923" s="87"/>
      <c r="P923" s="87"/>
      <c r="Q923" s="87"/>
      <c r="R923" s="87"/>
      <c r="S923" s="87"/>
      <c r="T923" s="87"/>
      <c r="U923" s="87"/>
      <c r="V923" s="87"/>
      <c r="W923" s="87"/>
      <c r="X923" s="87"/>
      <c r="Y923" s="87"/>
      <c r="Z923" s="87"/>
    </row>
    <row r="924" spans="1:26" ht="15.75" customHeight="1">
      <c r="A924" s="87"/>
      <c r="B924" s="87"/>
      <c r="C924" s="87"/>
      <c r="D924" s="87"/>
      <c r="E924" s="87"/>
      <c r="F924" s="87"/>
      <c r="G924" s="87"/>
      <c r="H924" s="87"/>
      <c r="I924" s="87"/>
      <c r="J924" s="87"/>
      <c r="K924" s="87"/>
      <c r="L924" s="87"/>
      <c r="M924" s="87"/>
      <c r="N924" s="87"/>
      <c r="O924" s="87"/>
      <c r="P924" s="87"/>
      <c r="Q924" s="87"/>
      <c r="R924" s="87"/>
      <c r="S924" s="87"/>
      <c r="T924" s="87"/>
      <c r="U924" s="87"/>
      <c r="V924" s="87"/>
      <c r="W924" s="87"/>
      <c r="X924" s="87"/>
      <c r="Y924" s="87"/>
      <c r="Z924" s="87"/>
    </row>
    <row r="925" spans="1:26" ht="15.75" customHeight="1">
      <c r="A925" s="87"/>
      <c r="B925" s="87"/>
      <c r="C925" s="87"/>
      <c r="D925" s="87"/>
      <c r="E925" s="87"/>
      <c r="F925" s="87"/>
      <c r="G925" s="87"/>
      <c r="H925" s="87"/>
      <c r="I925" s="87"/>
      <c r="J925" s="87"/>
      <c r="K925" s="87"/>
      <c r="L925" s="87"/>
      <c r="M925" s="87"/>
      <c r="N925" s="87"/>
      <c r="O925" s="87"/>
      <c r="P925" s="87"/>
      <c r="Q925" s="87"/>
      <c r="R925" s="87"/>
      <c r="S925" s="87"/>
      <c r="T925" s="87"/>
      <c r="U925" s="87"/>
      <c r="V925" s="87"/>
      <c r="W925" s="87"/>
      <c r="X925" s="87"/>
      <c r="Y925" s="87"/>
      <c r="Z925" s="87"/>
    </row>
    <row r="926" spans="1:26" ht="15.75" customHeight="1">
      <c r="A926" s="87"/>
      <c r="B926" s="87"/>
      <c r="C926" s="87"/>
      <c r="D926" s="87"/>
      <c r="E926" s="87"/>
      <c r="F926" s="87"/>
      <c r="G926" s="87"/>
      <c r="H926" s="87"/>
      <c r="I926" s="87"/>
      <c r="J926" s="87"/>
      <c r="K926" s="87"/>
      <c r="L926" s="87"/>
      <c r="M926" s="87"/>
      <c r="N926" s="87"/>
      <c r="O926" s="87"/>
      <c r="P926" s="87"/>
      <c r="Q926" s="87"/>
      <c r="R926" s="87"/>
      <c r="S926" s="87"/>
      <c r="T926" s="87"/>
      <c r="U926" s="87"/>
      <c r="V926" s="87"/>
      <c r="W926" s="87"/>
      <c r="X926" s="87"/>
      <c r="Y926" s="87"/>
      <c r="Z926" s="87"/>
    </row>
    <row r="927" spans="1:26" ht="15.75" customHeight="1">
      <c r="A927" s="87"/>
      <c r="B927" s="87"/>
      <c r="C927" s="87"/>
      <c r="D927" s="87"/>
      <c r="E927" s="87"/>
      <c r="F927" s="87"/>
      <c r="G927" s="87"/>
      <c r="H927" s="87"/>
      <c r="I927" s="87"/>
      <c r="J927" s="87"/>
      <c r="K927" s="87"/>
      <c r="L927" s="87"/>
      <c r="M927" s="87"/>
      <c r="N927" s="87"/>
      <c r="O927" s="87"/>
      <c r="P927" s="87"/>
      <c r="Q927" s="87"/>
      <c r="R927" s="87"/>
      <c r="S927" s="87"/>
      <c r="T927" s="87"/>
      <c r="U927" s="87"/>
      <c r="V927" s="87"/>
      <c r="W927" s="87"/>
      <c r="X927" s="87"/>
      <c r="Y927" s="87"/>
      <c r="Z927" s="87"/>
    </row>
    <row r="928" spans="1:26" ht="15.75" customHeight="1">
      <c r="A928" s="87"/>
      <c r="B928" s="87"/>
      <c r="C928" s="87"/>
      <c r="D928" s="87"/>
      <c r="E928" s="87"/>
      <c r="F928" s="87"/>
      <c r="G928" s="87"/>
      <c r="H928" s="87"/>
      <c r="I928" s="87"/>
      <c r="J928" s="87"/>
      <c r="K928" s="87"/>
      <c r="L928" s="87"/>
      <c r="M928" s="87"/>
      <c r="N928" s="87"/>
      <c r="O928" s="87"/>
      <c r="P928" s="87"/>
      <c r="Q928" s="87"/>
      <c r="R928" s="87"/>
      <c r="S928" s="87"/>
      <c r="T928" s="87"/>
      <c r="U928" s="87"/>
      <c r="V928" s="87"/>
      <c r="W928" s="87"/>
      <c r="X928" s="87"/>
      <c r="Y928" s="87"/>
      <c r="Z928" s="87"/>
    </row>
    <row r="929" spans="1:26" ht="15.75" customHeight="1">
      <c r="A929" s="87"/>
      <c r="B929" s="87"/>
      <c r="C929" s="87"/>
      <c r="D929" s="87"/>
      <c r="E929" s="87"/>
      <c r="F929" s="87"/>
      <c r="G929" s="87"/>
      <c r="H929" s="87"/>
      <c r="I929" s="87"/>
      <c r="J929" s="87"/>
      <c r="K929" s="87"/>
      <c r="L929" s="87"/>
      <c r="M929" s="87"/>
      <c r="N929" s="87"/>
      <c r="O929" s="87"/>
      <c r="P929" s="87"/>
      <c r="Q929" s="87"/>
      <c r="R929" s="87"/>
      <c r="S929" s="87"/>
      <c r="T929" s="87"/>
      <c r="U929" s="87"/>
      <c r="V929" s="87"/>
      <c r="W929" s="87"/>
      <c r="X929" s="87"/>
      <c r="Y929" s="87"/>
      <c r="Z929" s="87"/>
    </row>
    <row r="930" spans="1:26" ht="15.75" customHeight="1">
      <c r="A930" s="87"/>
      <c r="B930" s="87"/>
      <c r="C930" s="87"/>
      <c r="D930" s="87"/>
      <c r="E930" s="87"/>
      <c r="F930" s="87"/>
      <c r="G930" s="87"/>
      <c r="H930" s="87"/>
      <c r="I930" s="87"/>
      <c r="J930" s="87"/>
      <c r="K930" s="87"/>
      <c r="L930" s="87"/>
      <c r="M930" s="87"/>
      <c r="N930" s="87"/>
      <c r="O930" s="87"/>
      <c r="P930" s="87"/>
      <c r="Q930" s="87"/>
      <c r="R930" s="87"/>
      <c r="S930" s="87"/>
      <c r="T930" s="87"/>
      <c r="U930" s="87"/>
      <c r="V930" s="87"/>
      <c r="W930" s="87"/>
      <c r="X930" s="87"/>
      <c r="Y930" s="87"/>
      <c r="Z930" s="87"/>
    </row>
    <row r="931" spans="1:26" ht="15.75" customHeight="1">
      <c r="A931" s="87"/>
      <c r="B931" s="87"/>
      <c r="C931" s="87"/>
      <c r="D931" s="87"/>
      <c r="E931" s="87"/>
      <c r="F931" s="87"/>
      <c r="G931" s="87"/>
      <c r="H931" s="87"/>
      <c r="I931" s="87"/>
      <c r="J931" s="87"/>
      <c r="K931" s="87"/>
      <c r="L931" s="87"/>
      <c r="M931" s="87"/>
      <c r="N931" s="87"/>
      <c r="O931" s="87"/>
      <c r="P931" s="87"/>
      <c r="Q931" s="87"/>
      <c r="R931" s="87"/>
      <c r="S931" s="87"/>
      <c r="T931" s="87"/>
      <c r="U931" s="87"/>
      <c r="V931" s="87"/>
      <c r="W931" s="87"/>
      <c r="X931" s="87"/>
      <c r="Y931" s="87"/>
      <c r="Z931" s="87"/>
    </row>
    <row r="932" spans="1:26" ht="15.75" customHeight="1">
      <c r="A932" s="87"/>
      <c r="B932" s="87"/>
      <c r="C932" s="87"/>
      <c r="D932" s="87"/>
      <c r="E932" s="87"/>
      <c r="F932" s="87"/>
      <c r="G932" s="87"/>
      <c r="H932" s="87"/>
      <c r="I932" s="87"/>
      <c r="J932" s="87"/>
      <c r="K932" s="87"/>
      <c r="L932" s="87"/>
      <c r="M932" s="87"/>
      <c r="N932" s="87"/>
      <c r="O932" s="87"/>
      <c r="P932" s="87"/>
      <c r="Q932" s="87"/>
      <c r="R932" s="87"/>
      <c r="S932" s="87"/>
      <c r="T932" s="87"/>
      <c r="U932" s="87"/>
      <c r="V932" s="87"/>
      <c r="W932" s="87"/>
      <c r="X932" s="87"/>
      <c r="Y932" s="87"/>
      <c r="Z932" s="87"/>
    </row>
    <row r="933" spans="1:26" ht="15.75" customHeight="1">
      <c r="A933" s="87"/>
      <c r="B933" s="87"/>
      <c r="C933" s="87"/>
      <c r="D933" s="87"/>
      <c r="E933" s="87"/>
      <c r="F933" s="87"/>
      <c r="G933" s="87"/>
      <c r="H933" s="87"/>
      <c r="I933" s="87"/>
      <c r="J933" s="87"/>
      <c r="K933" s="87"/>
      <c r="L933" s="87"/>
      <c r="M933" s="87"/>
      <c r="N933" s="87"/>
      <c r="O933" s="87"/>
      <c r="P933" s="87"/>
      <c r="Q933" s="87"/>
      <c r="R933" s="87"/>
      <c r="S933" s="87"/>
      <c r="T933" s="87"/>
      <c r="U933" s="87"/>
      <c r="V933" s="87"/>
      <c r="W933" s="87"/>
      <c r="X933" s="87"/>
      <c r="Y933" s="87"/>
      <c r="Z933" s="87"/>
    </row>
    <row r="934" spans="1:26" ht="15.75" customHeight="1">
      <c r="A934" s="87"/>
      <c r="B934" s="87"/>
      <c r="C934" s="87"/>
      <c r="D934" s="87"/>
      <c r="E934" s="87"/>
      <c r="F934" s="87"/>
      <c r="G934" s="87"/>
      <c r="H934" s="87"/>
      <c r="I934" s="87"/>
      <c r="J934" s="87"/>
      <c r="K934" s="87"/>
      <c r="L934" s="87"/>
      <c r="M934" s="87"/>
      <c r="N934" s="87"/>
      <c r="O934" s="87"/>
      <c r="P934" s="87"/>
      <c r="Q934" s="87"/>
      <c r="R934" s="87"/>
      <c r="S934" s="87"/>
      <c r="T934" s="87"/>
      <c r="U934" s="87"/>
      <c r="V934" s="87"/>
      <c r="W934" s="87"/>
      <c r="X934" s="87"/>
      <c r="Y934" s="87"/>
      <c r="Z934" s="87"/>
    </row>
    <row r="935" spans="1:26" ht="15.75" customHeight="1">
      <c r="A935" s="87"/>
      <c r="B935" s="87"/>
      <c r="C935" s="87"/>
      <c r="D935" s="87"/>
      <c r="E935" s="87"/>
      <c r="F935" s="87"/>
      <c r="G935" s="87"/>
      <c r="H935" s="87"/>
      <c r="I935" s="87"/>
      <c r="J935" s="87"/>
      <c r="K935" s="87"/>
      <c r="L935" s="87"/>
      <c r="M935" s="87"/>
      <c r="N935" s="87"/>
      <c r="O935" s="87"/>
      <c r="P935" s="87"/>
      <c r="Q935" s="87"/>
      <c r="R935" s="87"/>
      <c r="S935" s="87"/>
      <c r="T935" s="87"/>
      <c r="U935" s="87"/>
      <c r="V935" s="87"/>
      <c r="W935" s="87"/>
      <c r="X935" s="87"/>
      <c r="Y935" s="87"/>
      <c r="Z935" s="87"/>
    </row>
    <row r="936" spans="1:26" ht="15.75" customHeight="1">
      <c r="A936" s="87"/>
      <c r="B936" s="87"/>
      <c r="C936" s="87"/>
      <c r="D936" s="87"/>
      <c r="E936" s="87"/>
      <c r="F936" s="87"/>
      <c r="G936" s="87"/>
      <c r="H936" s="87"/>
      <c r="I936" s="87"/>
      <c r="J936" s="87"/>
      <c r="K936" s="87"/>
      <c r="L936" s="87"/>
      <c r="M936" s="87"/>
      <c r="N936" s="87"/>
      <c r="O936" s="87"/>
      <c r="P936" s="87"/>
      <c r="Q936" s="87"/>
      <c r="R936" s="87"/>
      <c r="S936" s="87"/>
      <c r="T936" s="87"/>
      <c r="U936" s="87"/>
      <c r="V936" s="87"/>
      <c r="W936" s="87"/>
      <c r="X936" s="87"/>
      <c r="Y936" s="87"/>
      <c r="Z936" s="87"/>
    </row>
    <row r="937" spans="1:26" ht="15.75" customHeight="1">
      <c r="A937" s="87"/>
      <c r="B937" s="87"/>
      <c r="C937" s="87"/>
      <c r="D937" s="87"/>
      <c r="E937" s="87"/>
      <c r="F937" s="87"/>
      <c r="G937" s="87"/>
      <c r="H937" s="87"/>
      <c r="I937" s="87"/>
      <c r="J937" s="87"/>
      <c r="K937" s="87"/>
      <c r="L937" s="87"/>
      <c r="M937" s="87"/>
      <c r="N937" s="87"/>
      <c r="O937" s="87"/>
      <c r="P937" s="87"/>
      <c r="Q937" s="87"/>
      <c r="R937" s="87"/>
      <c r="S937" s="87"/>
      <c r="T937" s="87"/>
      <c r="U937" s="87"/>
      <c r="V937" s="87"/>
      <c r="W937" s="87"/>
      <c r="X937" s="87"/>
      <c r="Y937" s="87"/>
      <c r="Z937" s="87"/>
    </row>
    <row r="938" spans="1:26" ht="15.75" customHeight="1">
      <c r="A938" s="87"/>
      <c r="B938" s="87"/>
      <c r="C938" s="87"/>
      <c r="D938" s="87"/>
      <c r="E938" s="87"/>
      <c r="F938" s="87"/>
      <c r="G938" s="87"/>
      <c r="H938" s="87"/>
      <c r="I938" s="87"/>
      <c r="J938" s="87"/>
      <c r="K938" s="87"/>
      <c r="L938" s="87"/>
      <c r="M938" s="87"/>
      <c r="N938" s="87"/>
      <c r="O938" s="87"/>
      <c r="P938" s="87"/>
      <c r="Q938" s="87"/>
      <c r="R938" s="87"/>
      <c r="S938" s="87"/>
      <c r="T938" s="87"/>
      <c r="U938" s="87"/>
      <c r="V938" s="87"/>
      <c r="W938" s="87"/>
      <c r="X938" s="87"/>
      <c r="Y938" s="87"/>
      <c r="Z938" s="87"/>
    </row>
    <row r="939" spans="1:26" ht="15.75" customHeight="1">
      <c r="A939" s="87"/>
      <c r="B939" s="87"/>
      <c r="C939" s="87"/>
      <c r="D939" s="87"/>
      <c r="E939" s="87"/>
      <c r="F939" s="87"/>
      <c r="G939" s="87"/>
      <c r="H939" s="87"/>
      <c r="I939" s="87"/>
      <c r="J939" s="87"/>
      <c r="K939" s="87"/>
      <c r="L939" s="87"/>
      <c r="M939" s="87"/>
      <c r="N939" s="87"/>
      <c r="O939" s="87"/>
      <c r="P939" s="87"/>
      <c r="Q939" s="87"/>
      <c r="R939" s="87"/>
      <c r="S939" s="87"/>
      <c r="T939" s="87"/>
      <c r="U939" s="87"/>
      <c r="V939" s="87"/>
      <c r="W939" s="87"/>
      <c r="X939" s="87"/>
      <c r="Y939" s="87"/>
      <c r="Z939" s="87"/>
    </row>
    <row r="940" spans="1:26" ht="15.75" customHeight="1">
      <c r="A940" s="87"/>
      <c r="B940" s="87"/>
      <c r="C940" s="87"/>
      <c r="D940" s="87"/>
      <c r="E940" s="87"/>
      <c r="F940" s="87"/>
      <c r="G940" s="87"/>
      <c r="H940" s="87"/>
      <c r="I940" s="87"/>
      <c r="J940" s="87"/>
      <c r="K940" s="87"/>
      <c r="L940" s="87"/>
      <c r="M940" s="87"/>
      <c r="N940" s="87"/>
      <c r="O940" s="87"/>
      <c r="P940" s="87"/>
      <c r="Q940" s="87"/>
      <c r="R940" s="87"/>
      <c r="S940" s="87"/>
      <c r="T940" s="87"/>
      <c r="U940" s="87"/>
      <c r="V940" s="87"/>
      <c r="W940" s="87"/>
      <c r="X940" s="87"/>
      <c r="Y940" s="87"/>
      <c r="Z940" s="87"/>
    </row>
    <row r="941" spans="1:26" ht="15.75" customHeight="1">
      <c r="A941" s="87"/>
      <c r="B941" s="87"/>
      <c r="C941" s="87"/>
      <c r="D941" s="87"/>
      <c r="E941" s="87"/>
      <c r="F941" s="87"/>
      <c r="G941" s="87"/>
      <c r="H941" s="87"/>
      <c r="I941" s="87"/>
      <c r="J941" s="87"/>
      <c r="K941" s="87"/>
      <c r="L941" s="87"/>
      <c r="M941" s="87"/>
      <c r="N941" s="87"/>
      <c r="O941" s="87"/>
      <c r="P941" s="87"/>
      <c r="Q941" s="87"/>
      <c r="R941" s="87"/>
      <c r="S941" s="87"/>
      <c r="T941" s="87"/>
      <c r="U941" s="87"/>
      <c r="V941" s="87"/>
      <c r="W941" s="87"/>
      <c r="X941" s="87"/>
      <c r="Y941" s="87"/>
      <c r="Z941" s="87"/>
    </row>
    <row r="942" spans="1:26" ht="15.75" customHeight="1">
      <c r="A942" s="87"/>
      <c r="B942" s="87"/>
      <c r="C942" s="87"/>
      <c r="D942" s="87"/>
      <c r="E942" s="87"/>
      <c r="F942" s="87"/>
      <c r="G942" s="87"/>
      <c r="H942" s="87"/>
      <c r="I942" s="87"/>
      <c r="J942" s="87"/>
      <c r="K942" s="87"/>
      <c r="L942" s="87"/>
      <c r="M942" s="87"/>
      <c r="N942" s="87"/>
      <c r="O942" s="87"/>
      <c r="P942" s="87"/>
      <c r="Q942" s="87"/>
      <c r="R942" s="87"/>
      <c r="S942" s="87"/>
      <c r="T942" s="87"/>
      <c r="U942" s="87"/>
      <c r="V942" s="87"/>
      <c r="W942" s="87"/>
      <c r="X942" s="87"/>
      <c r="Y942" s="87"/>
      <c r="Z942" s="87"/>
    </row>
    <row r="943" spans="1:26" ht="15.75" customHeight="1">
      <c r="A943" s="87"/>
      <c r="B943" s="87"/>
      <c r="C943" s="87"/>
      <c r="D943" s="87"/>
      <c r="E943" s="87"/>
      <c r="F943" s="87"/>
      <c r="G943" s="87"/>
      <c r="H943" s="87"/>
      <c r="I943" s="87"/>
      <c r="J943" s="87"/>
      <c r="K943" s="87"/>
      <c r="L943" s="87"/>
      <c r="M943" s="87"/>
      <c r="N943" s="87"/>
      <c r="O943" s="87"/>
      <c r="P943" s="87"/>
      <c r="Q943" s="87"/>
      <c r="R943" s="87"/>
      <c r="S943" s="87"/>
      <c r="T943" s="87"/>
      <c r="U943" s="87"/>
      <c r="V943" s="87"/>
      <c r="W943" s="87"/>
      <c r="X943" s="87"/>
      <c r="Y943" s="87"/>
      <c r="Z943" s="87"/>
    </row>
    <row r="944" spans="1:26" ht="15.75" customHeight="1">
      <c r="A944" s="87"/>
      <c r="B944" s="87"/>
      <c r="C944" s="87"/>
      <c r="D944" s="87"/>
      <c r="E944" s="87"/>
      <c r="F944" s="87"/>
      <c r="G944" s="87"/>
      <c r="H944" s="87"/>
      <c r="I944" s="87"/>
      <c r="J944" s="87"/>
      <c r="K944" s="87"/>
      <c r="L944" s="87"/>
      <c r="M944" s="87"/>
      <c r="N944" s="87"/>
      <c r="O944" s="87"/>
      <c r="P944" s="87"/>
      <c r="Q944" s="87"/>
      <c r="R944" s="87"/>
      <c r="S944" s="87"/>
      <c r="T944" s="87"/>
      <c r="U944" s="87"/>
      <c r="V944" s="87"/>
      <c r="W944" s="87"/>
      <c r="X944" s="87"/>
      <c r="Y944" s="87"/>
      <c r="Z944" s="87"/>
    </row>
    <row r="945" spans="1:26" ht="15.75" customHeight="1">
      <c r="A945" s="87"/>
      <c r="B945" s="87"/>
      <c r="C945" s="87"/>
      <c r="D945" s="87"/>
      <c r="E945" s="87"/>
      <c r="F945" s="87"/>
      <c r="G945" s="87"/>
      <c r="H945" s="87"/>
      <c r="I945" s="87"/>
      <c r="J945" s="87"/>
      <c r="K945" s="87"/>
      <c r="L945" s="87"/>
      <c r="M945" s="87"/>
      <c r="N945" s="87"/>
      <c r="O945" s="87"/>
      <c r="P945" s="87"/>
      <c r="Q945" s="87"/>
      <c r="R945" s="87"/>
      <c r="S945" s="87"/>
      <c r="T945" s="87"/>
      <c r="U945" s="87"/>
      <c r="V945" s="87"/>
      <c r="W945" s="87"/>
      <c r="X945" s="87"/>
      <c r="Y945" s="87"/>
      <c r="Z945" s="87"/>
    </row>
    <row r="946" spans="1:26" ht="15.75" customHeight="1">
      <c r="A946" s="87"/>
      <c r="B946" s="87"/>
      <c r="C946" s="87"/>
      <c r="D946" s="87"/>
      <c r="E946" s="87"/>
      <c r="F946" s="87"/>
      <c r="G946" s="87"/>
      <c r="H946" s="87"/>
      <c r="I946" s="87"/>
      <c r="J946" s="87"/>
      <c r="K946" s="87"/>
      <c r="L946" s="87"/>
      <c r="M946" s="87"/>
      <c r="N946" s="87"/>
      <c r="O946" s="87"/>
      <c r="P946" s="87"/>
      <c r="Q946" s="87"/>
      <c r="R946" s="87"/>
      <c r="S946" s="87"/>
      <c r="T946" s="87"/>
      <c r="U946" s="87"/>
      <c r="V946" s="87"/>
      <c r="W946" s="87"/>
      <c r="X946" s="87"/>
      <c r="Y946" s="87"/>
      <c r="Z946" s="87"/>
    </row>
    <row r="947" spans="1:26" ht="15.75" customHeight="1">
      <c r="A947" s="87"/>
      <c r="B947" s="87"/>
      <c r="C947" s="87"/>
      <c r="D947" s="87"/>
      <c r="E947" s="87"/>
      <c r="F947" s="87"/>
      <c r="G947" s="87"/>
      <c r="H947" s="87"/>
      <c r="I947" s="87"/>
      <c r="J947" s="87"/>
      <c r="K947" s="87"/>
      <c r="L947" s="87"/>
      <c r="M947" s="87"/>
      <c r="N947" s="87"/>
      <c r="O947" s="87"/>
      <c r="P947" s="87"/>
      <c r="Q947" s="87"/>
      <c r="R947" s="87"/>
      <c r="S947" s="87"/>
      <c r="T947" s="87"/>
      <c r="U947" s="87"/>
      <c r="V947" s="87"/>
      <c r="W947" s="87"/>
      <c r="X947" s="87"/>
      <c r="Y947" s="87"/>
      <c r="Z947" s="87"/>
    </row>
    <row r="948" spans="1:26" ht="15.75" customHeight="1">
      <c r="A948" s="87"/>
      <c r="B948" s="87"/>
      <c r="C948" s="87"/>
      <c r="D948" s="87"/>
      <c r="E948" s="87"/>
      <c r="F948" s="87"/>
      <c r="G948" s="87"/>
      <c r="H948" s="87"/>
      <c r="I948" s="87"/>
      <c r="J948" s="87"/>
      <c r="K948" s="87"/>
      <c r="L948" s="87"/>
      <c r="M948" s="87"/>
      <c r="N948" s="87"/>
      <c r="O948" s="87"/>
      <c r="P948" s="87"/>
      <c r="Q948" s="87"/>
      <c r="R948" s="87"/>
      <c r="S948" s="87"/>
      <c r="T948" s="87"/>
      <c r="U948" s="87"/>
      <c r="V948" s="87"/>
      <c r="W948" s="87"/>
      <c r="X948" s="87"/>
      <c r="Y948" s="87"/>
      <c r="Z948" s="87"/>
    </row>
    <row r="949" spans="1:26" ht="15.75" customHeight="1">
      <c r="A949" s="87"/>
      <c r="B949" s="87"/>
      <c r="C949" s="87"/>
      <c r="D949" s="87"/>
      <c r="E949" s="87"/>
      <c r="F949" s="87"/>
      <c r="G949" s="87"/>
      <c r="H949" s="87"/>
      <c r="I949" s="87"/>
      <c r="J949" s="87"/>
      <c r="K949" s="87"/>
      <c r="L949" s="87"/>
      <c r="M949" s="87"/>
      <c r="N949" s="87"/>
      <c r="O949" s="87"/>
      <c r="P949" s="87"/>
      <c r="Q949" s="87"/>
      <c r="R949" s="87"/>
      <c r="S949" s="87"/>
      <c r="T949" s="87"/>
      <c r="U949" s="87"/>
      <c r="V949" s="87"/>
      <c r="W949" s="87"/>
      <c r="X949" s="87"/>
      <c r="Y949" s="87"/>
      <c r="Z949" s="87"/>
    </row>
    <row r="950" spans="1:26" ht="15.75" customHeight="1">
      <c r="A950" s="87"/>
      <c r="B950" s="87"/>
      <c r="C950" s="87"/>
      <c r="D950" s="87"/>
      <c r="E950" s="87"/>
      <c r="F950" s="87"/>
      <c r="G950" s="87"/>
      <c r="H950" s="87"/>
      <c r="I950" s="87"/>
      <c r="J950" s="87"/>
      <c r="K950" s="87"/>
      <c r="L950" s="87"/>
      <c r="M950" s="87"/>
      <c r="N950" s="87"/>
      <c r="O950" s="87"/>
      <c r="P950" s="87"/>
      <c r="Q950" s="87"/>
      <c r="R950" s="87"/>
      <c r="S950" s="87"/>
      <c r="T950" s="87"/>
      <c r="U950" s="87"/>
      <c r="V950" s="87"/>
      <c r="W950" s="87"/>
      <c r="X950" s="87"/>
      <c r="Y950" s="87"/>
      <c r="Z950" s="87"/>
    </row>
    <row r="951" spans="1:26" ht="15.75" customHeight="1">
      <c r="A951" s="87"/>
      <c r="B951" s="87"/>
      <c r="C951" s="87"/>
      <c r="D951" s="87"/>
      <c r="E951" s="87"/>
      <c r="F951" s="87"/>
      <c r="G951" s="87"/>
      <c r="H951" s="87"/>
      <c r="I951" s="87"/>
      <c r="J951" s="87"/>
      <c r="K951" s="87"/>
      <c r="L951" s="87"/>
      <c r="M951" s="87"/>
      <c r="N951" s="87"/>
      <c r="O951" s="87"/>
      <c r="P951" s="87"/>
      <c r="Q951" s="87"/>
      <c r="R951" s="87"/>
      <c r="S951" s="87"/>
      <c r="T951" s="87"/>
      <c r="U951" s="87"/>
      <c r="V951" s="87"/>
      <c r="W951" s="87"/>
      <c r="X951" s="87"/>
      <c r="Y951" s="87"/>
      <c r="Z951" s="87"/>
    </row>
    <row r="952" spans="1:26" ht="15.75" customHeight="1">
      <c r="A952" s="87"/>
      <c r="B952" s="87"/>
      <c r="C952" s="87"/>
      <c r="D952" s="87"/>
      <c r="E952" s="87"/>
      <c r="F952" s="87"/>
      <c r="G952" s="87"/>
      <c r="H952" s="87"/>
      <c r="I952" s="87"/>
      <c r="J952" s="87"/>
      <c r="K952" s="87"/>
      <c r="L952" s="87"/>
      <c r="M952" s="87"/>
      <c r="N952" s="87"/>
      <c r="O952" s="87"/>
      <c r="P952" s="87"/>
      <c r="Q952" s="87"/>
      <c r="R952" s="87"/>
      <c r="S952" s="87"/>
      <c r="T952" s="87"/>
      <c r="U952" s="87"/>
      <c r="V952" s="87"/>
      <c r="W952" s="87"/>
      <c r="X952" s="87"/>
      <c r="Y952" s="87"/>
      <c r="Z952" s="87"/>
    </row>
    <row r="953" spans="1:26" ht="15.75" customHeight="1">
      <c r="A953" s="87"/>
      <c r="B953" s="87"/>
      <c r="C953" s="87"/>
      <c r="D953" s="87"/>
      <c r="E953" s="87"/>
      <c r="F953" s="87"/>
      <c r="G953" s="87"/>
      <c r="H953" s="87"/>
      <c r="I953" s="87"/>
      <c r="J953" s="87"/>
      <c r="K953" s="87"/>
      <c r="L953" s="87"/>
      <c r="M953" s="87"/>
      <c r="N953" s="87"/>
      <c r="O953" s="87"/>
      <c r="P953" s="87"/>
      <c r="Q953" s="87"/>
      <c r="R953" s="87"/>
      <c r="S953" s="87"/>
      <c r="T953" s="87"/>
      <c r="U953" s="87"/>
      <c r="V953" s="87"/>
      <c r="W953" s="87"/>
      <c r="X953" s="87"/>
      <c r="Y953" s="87"/>
      <c r="Z953" s="87"/>
    </row>
    <row r="954" spans="1:26" ht="15.75" customHeight="1">
      <c r="A954" s="87"/>
      <c r="B954" s="87"/>
      <c r="C954" s="87"/>
      <c r="D954" s="87"/>
      <c r="E954" s="87"/>
      <c r="F954" s="87"/>
      <c r="G954" s="87"/>
      <c r="H954" s="87"/>
      <c r="I954" s="87"/>
      <c r="J954" s="87"/>
      <c r="K954" s="87"/>
      <c r="L954" s="87"/>
      <c r="M954" s="87"/>
      <c r="N954" s="87"/>
      <c r="O954" s="87"/>
      <c r="P954" s="87"/>
      <c r="Q954" s="87"/>
      <c r="R954" s="87"/>
      <c r="S954" s="87"/>
      <c r="T954" s="87"/>
      <c r="U954" s="87"/>
      <c r="V954" s="87"/>
      <c r="W954" s="87"/>
      <c r="X954" s="87"/>
      <c r="Y954" s="87"/>
      <c r="Z954" s="87"/>
    </row>
    <row r="955" spans="1:26" ht="15.75" customHeight="1">
      <c r="A955" s="87"/>
      <c r="B955" s="87"/>
      <c r="C955" s="87"/>
      <c r="D955" s="87"/>
      <c r="E955" s="87"/>
      <c r="F955" s="87"/>
      <c r="G955" s="87"/>
      <c r="H955" s="87"/>
      <c r="I955" s="87"/>
      <c r="J955" s="87"/>
      <c r="K955" s="87"/>
      <c r="L955" s="87"/>
      <c r="M955" s="87"/>
      <c r="N955" s="87"/>
      <c r="O955" s="87"/>
      <c r="P955" s="87"/>
      <c r="Q955" s="87"/>
      <c r="R955" s="87"/>
      <c r="S955" s="87"/>
      <c r="T955" s="87"/>
      <c r="U955" s="87"/>
      <c r="V955" s="87"/>
      <c r="W955" s="87"/>
      <c r="X955" s="87"/>
      <c r="Y955" s="87"/>
      <c r="Z955" s="87"/>
    </row>
    <row r="956" spans="1:26" ht="15.75" customHeight="1">
      <c r="A956" s="87"/>
      <c r="B956" s="87"/>
      <c r="C956" s="87"/>
      <c r="D956" s="87"/>
      <c r="E956" s="87"/>
      <c r="F956" s="87"/>
      <c r="G956" s="87"/>
      <c r="H956" s="87"/>
      <c r="I956" s="87"/>
      <c r="J956" s="87"/>
      <c r="K956" s="87"/>
      <c r="L956" s="87"/>
      <c r="M956" s="87"/>
      <c r="N956" s="87"/>
      <c r="O956" s="87"/>
      <c r="P956" s="87"/>
      <c r="Q956" s="87"/>
      <c r="R956" s="87"/>
      <c r="S956" s="87"/>
      <c r="T956" s="87"/>
      <c r="U956" s="87"/>
      <c r="V956" s="87"/>
      <c r="W956" s="87"/>
      <c r="X956" s="87"/>
      <c r="Y956" s="87"/>
      <c r="Z956" s="87"/>
    </row>
    <row r="957" spans="1:26" ht="15.75" customHeight="1">
      <c r="A957" s="87"/>
      <c r="B957" s="87"/>
      <c r="C957" s="87"/>
      <c r="D957" s="87"/>
      <c r="E957" s="87"/>
      <c r="F957" s="87"/>
      <c r="G957" s="87"/>
      <c r="H957" s="87"/>
      <c r="I957" s="87"/>
      <c r="J957" s="87"/>
      <c r="K957" s="87"/>
      <c r="L957" s="87"/>
      <c r="M957" s="87"/>
      <c r="N957" s="87"/>
      <c r="O957" s="87"/>
      <c r="P957" s="87"/>
      <c r="Q957" s="87"/>
      <c r="R957" s="87"/>
      <c r="S957" s="87"/>
      <c r="T957" s="87"/>
      <c r="U957" s="87"/>
      <c r="V957" s="87"/>
      <c r="W957" s="87"/>
      <c r="X957" s="87"/>
      <c r="Y957" s="87"/>
      <c r="Z957" s="87"/>
    </row>
    <row r="958" spans="1:26" ht="15.75" customHeight="1">
      <c r="A958" s="87"/>
      <c r="B958" s="87"/>
      <c r="C958" s="87"/>
      <c r="D958" s="87"/>
      <c r="E958" s="87"/>
      <c r="F958" s="87"/>
      <c r="G958" s="87"/>
      <c r="H958" s="87"/>
      <c r="I958" s="87"/>
      <c r="J958" s="87"/>
      <c r="K958" s="87"/>
      <c r="L958" s="87"/>
      <c r="M958" s="87"/>
      <c r="N958" s="87"/>
      <c r="O958" s="87"/>
      <c r="P958" s="87"/>
      <c r="Q958" s="87"/>
      <c r="R958" s="87"/>
      <c r="S958" s="87"/>
      <c r="T958" s="87"/>
      <c r="U958" s="87"/>
      <c r="V958" s="87"/>
      <c r="W958" s="87"/>
      <c r="X958" s="87"/>
      <c r="Y958" s="87"/>
      <c r="Z958" s="87"/>
    </row>
    <row r="959" spans="1:26" ht="15.75" customHeight="1">
      <c r="A959" s="87"/>
      <c r="B959" s="87"/>
      <c r="C959" s="87"/>
      <c r="D959" s="87"/>
      <c r="E959" s="87"/>
      <c r="F959" s="87"/>
      <c r="G959" s="87"/>
      <c r="H959" s="87"/>
      <c r="I959" s="87"/>
      <c r="J959" s="87"/>
      <c r="K959" s="87"/>
      <c r="L959" s="87"/>
      <c r="M959" s="87"/>
      <c r="N959" s="87"/>
      <c r="O959" s="87"/>
      <c r="P959" s="87"/>
      <c r="Q959" s="87"/>
      <c r="R959" s="87"/>
      <c r="S959" s="87"/>
      <c r="T959" s="87"/>
      <c r="U959" s="87"/>
      <c r="V959" s="87"/>
      <c r="W959" s="87"/>
      <c r="X959" s="87"/>
      <c r="Y959" s="87"/>
      <c r="Z959" s="87"/>
    </row>
    <row r="960" spans="1:26" ht="15.75" customHeight="1">
      <c r="A960" s="87"/>
      <c r="B960" s="87"/>
      <c r="C960" s="87"/>
      <c r="D960" s="87"/>
      <c r="E960" s="87"/>
      <c r="F960" s="87"/>
      <c r="G960" s="87"/>
      <c r="H960" s="87"/>
      <c r="I960" s="87"/>
      <c r="J960" s="87"/>
      <c r="K960" s="87"/>
      <c r="L960" s="87"/>
      <c r="M960" s="87"/>
      <c r="N960" s="87"/>
      <c r="O960" s="87"/>
      <c r="P960" s="87"/>
      <c r="Q960" s="87"/>
      <c r="R960" s="87"/>
      <c r="S960" s="87"/>
      <c r="T960" s="87"/>
      <c r="U960" s="87"/>
      <c r="V960" s="87"/>
      <c r="W960" s="87"/>
      <c r="X960" s="87"/>
      <c r="Y960" s="87"/>
      <c r="Z960" s="87"/>
    </row>
    <row r="961" spans="1:26" ht="15.75" customHeight="1">
      <c r="A961" s="87"/>
      <c r="B961" s="87"/>
      <c r="C961" s="87"/>
      <c r="D961" s="87"/>
      <c r="E961" s="87"/>
      <c r="F961" s="87"/>
      <c r="G961" s="87"/>
      <c r="H961" s="87"/>
      <c r="I961" s="87"/>
      <c r="J961" s="87"/>
      <c r="K961" s="87"/>
      <c r="L961" s="87"/>
      <c r="M961" s="87"/>
      <c r="N961" s="87"/>
      <c r="O961" s="87"/>
      <c r="P961" s="87"/>
      <c r="Q961" s="87"/>
      <c r="R961" s="87"/>
      <c r="S961" s="87"/>
      <c r="T961" s="87"/>
      <c r="U961" s="87"/>
      <c r="V961" s="87"/>
      <c r="W961" s="87"/>
      <c r="X961" s="87"/>
      <c r="Y961" s="87"/>
      <c r="Z961" s="87"/>
    </row>
    <row r="962" spans="1:26" ht="15.75" customHeight="1">
      <c r="A962" s="87"/>
      <c r="B962" s="87"/>
      <c r="C962" s="87"/>
      <c r="D962" s="87"/>
      <c r="E962" s="87"/>
      <c r="F962" s="87"/>
      <c r="G962" s="87"/>
      <c r="H962" s="87"/>
      <c r="I962" s="87"/>
      <c r="J962" s="87"/>
      <c r="K962" s="87"/>
      <c r="L962" s="87"/>
      <c r="M962" s="87"/>
      <c r="N962" s="87"/>
      <c r="O962" s="87"/>
      <c r="P962" s="87"/>
      <c r="Q962" s="87"/>
      <c r="R962" s="87"/>
      <c r="S962" s="87"/>
      <c r="T962" s="87"/>
      <c r="U962" s="87"/>
      <c r="V962" s="87"/>
      <c r="W962" s="87"/>
      <c r="X962" s="87"/>
      <c r="Y962" s="87"/>
      <c r="Z962" s="87"/>
    </row>
    <row r="963" spans="1:26" ht="15.75" customHeight="1">
      <c r="A963" s="87"/>
      <c r="B963" s="87"/>
      <c r="C963" s="87"/>
      <c r="D963" s="87"/>
      <c r="E963" s="87"/>
      <c r="F963" s="87"/>
      <c r="G963" s="87"/>
      <c r="H963" s="87"/>
      <c r="I963" s="87"/>
      <c r="J963" s="87"/>
      <c r="K963" s="87"/>
      <c r="L963" s="87"/>
      <c r="M963" s="87"/>
      <c r="N963" s="87"/>
      <c r="O963" s="87"/>
      <c r="P963" s="87"/>
      <c r="Q963" s="87"/>
      <c r="R963" s="87"/>
      <c r="S963" s="87"/>
      <c r="T963" s="87"/>
      <c r="U963" s="87"/>
      <c r="V963" s="87"/>
      <c r="W963" s="87"/>
      <c r="X963" s="87"/>
      <c r="Y963" s="87"/>
      <c r="Z963" s="87"/>
    </row>
    <row r="964" spans="1:26" ht="15.75" customHeight="1">
      <c r="A964" s="87"/>
      <c r="B964" s="87"/>
      <c r="C964" s="87"/>
      <c r="D964" s="87"/>
      <c r="E964" s="87"/>
      <c r="F964" s="87"/>
      <c r="G964" s="87"/>
      <c r="H964" s="87"/>
      <c r="I964" s="87"/>
      <c r="J964" s="87"/>
      <c r="K964" s="87"/>
      <c r="L964" s="87"/>
      <c r="M964" s="87"/>
      <c r="N964" s="87"/>
      <c r="O964" s="87"/>
      <c r="P964" s="87"/>
      <c r="Q964" s="87"/>
      <c r="R964" s="87"/>
      <c r="S964" s="87"/>
      <c r="T964" s="87"/>
      <c r="U964" s="87"/>
      <c r="V964" s="87"/>
      <c r="W964" s="87"/>
      <c r="X964" s="87"/>
      <c r="Y964" s="87"/>
      <c r="Z964" s="87"/>
    </row>
    <row r="965" spans="1:26" ht="15.75" customHeight="1">
      <c r="A965" s="87"/>
      <c r="B965" s="87"/>
      <c r="C965" s="87"/>
      <c r="D965" s="87"/>
      <c r="E965" s="87"/>
      <c r="F965" s="87"/>
      <c r="G965" s="87"/>
      <c r="H965" s="87"/>
      <c r="I965" s="87"/>
      <c r="J965" s="87"/>
      <c r="K965" s="87"/>
      <c r="L965" s="87"/>
      <c r="M965" s="87"/>
      <c r="N965" s="87"/>
      <c r="O965" s="87"/>
      <c r="P965" s="87"/>
      <c r="Q965" s="87"/>
      <c r="R965" s="87"/>
      <c r="S965" s="87"/>
      <c r="T965" s="87"/>
      <c r="U965" s="87"/>
      <c r="V965" s="87"/>
      <c r="W965" s="87"/>
      <c r="X965" s="87"/>
      <c r="Y965" s="87"/>
      <c r="Z965" s="87"/>
    </row>
    <row r="966" spans="1:26" ht="15.75" customHeight="1">
      <c r="A966" s="87"/>
      <c r="B966" s="87"/>
      <c r="C966" s="87"/>
      <c r="D966" s="87"/>
      <c r="E966" s="87"/>
      <c r="F966" s="87"/>
      <c r="G966" s="87"/>
      <c r="H966" s="87"/>
      <c r="I966" s="87"/>
      <c r="J966" s="87"/>
      <c r="K966" s="87"/>
      <c r="L966" s="87"/>
      <c r="M966" s="87"/>
      <c r="N966" s="87"/>
      <c r="O966" s="87"/>
      <c r="P966" s="87"/>
      <c r="Q966" s="87"/>
      <c r="R966" s="87"/>
      <c r="S966" s="87"/>
      <c r="T966" s="87"/>
      <c r="U966" s="87"/>
      <c r="V966" s="87"/>
      <c r="W966" s="87"/>
      <c r="X966" s="87"/>
      <c r="Y966" s="87"/>
      <c r="Z966" s="87"/>
    </row>
    <row r="967" spans="1:26" ht="15.75" customHeight="1">
      <c r="A967" s="87"/>
      <c r="B967" s="87"/>
      <c r="C967" s="87"/>
      <c r="D967" s="87"/>
      <c r="E967" s="87"/>
      <c r="F967" s="87"/>
      <c r="G967" s="87"/>
      <c r="H967" s="87"/>
      <c r="I967" s="87"/>
      <c r="J967" s="87"/>
      <c r="K967" s="87"/>
      <c r="L967" s="87"/>
      <c r="M967" s="87"/>
      <c r="N967" s="87"/>
      <c r="O967" s="87"/>
      <c r="P967" s="87"/>
      <c r="Q967" s="87"/>
      <c r="R967" s="87"/>
      <c r="S967" s="87"/>
      <c r="T967" s="87"/>
      <c r="U967" s="87"/>
      <c r="V967" s="87"/>
      <c r="W967" s="87"/>
      <c r="X967" s="87"/>
      <c r="Y967" s="87"/>
      <c r="Z967" s="87"/>
    </row>
    <row r="968" spans="1:26" ht="15.75" customHeight="1">
      <c r="A968" s="87"/>
      <c r="B968" s="87"/>
      <c r="C968" s="87"/>
      <c r="D968" s="87"/>
      <c r="E968" s="87"/>
      <c r="F968" s="87"/>
      <c r="G968" s="87"/>
      <c r="H968" s="87"/>
      <c r="I968" s="87"/>
      <c r="J968" s="87"/>
      <c r="K968" s="87"/>
      <c r="L968" s="87"/>
      <c r="M968" s="87"/>
      <c r="N968" s="87"/>
      <c r="O968" s="87"/>
      <c r="P968" s="87"/>
      <c r="Q968" s="87"/>
      <c r="R968" s="87"/>
      <c r="S968" s="87"/>
      <c r="T968" s="87"/>
      <c r="U968" s="87"/>
      <c r="V968" s="87"/>
      <c r="W968" s="87"/>
      <c r="X968" s="87"/>
      <c r="Y968" s="87"/>
      <c r="Z968" s="87"/>
    </row>
    <row r="969" spans="1:26" ht="15.75" customHeight="1">
      <c r="A969" s="87"/>
      <c r="B969" s="87"/>
      <c r="C969" s="87"/>
      <c r="D969" s="87"/>
      <c r="E969" s="87"/>
      <c r="F969" s="87"/>
      <c r="G969" s="87"/>
      <c r="H969" s="87"/>
      <c r="I969" s="87"/>
      <c r="J969" s="87"/>
      <c r="K969" s="87"/>
      <c r="L969" s="87"/>
      <c r="M969" s="87"/>
      <c r="N969" s="87"/>
      <c r="O969" s="87"/>
      <c r="P969" s="87"/>
      <c r="Q969" s="87"/>
      <c r="R969" s="87"/>
      <c r="S969" s="87"/>
      <c r="T969" s="87"/>
      <c r="U969" s="87"/>
      <c r="V969" s="87"/>
      <c r="W969" s="87"/>
      <c r="X969" s="87"/>
      <c r="Y969" s="87"/>
      <c r="Z969" s="87"/>
    </row>
    <row r="970" spans="1:26" ht="15.75" customHeight="1">
      <c r="A970" s="87"/>
      <c r="B970" s="87"/>
      <c r="C970" s="87"/>
      <c r="D970" s="87"/>
      <c r="E970" s="87"/>
      <c r="F970" s="87"/>
      <c r="G970" s="87"/>
      <c r="H970" s="87"/>
      <c r="I970" s="87"/>
      <c r="J970" s="87"/>
      <c r="K970" s="87"/>
      <c r="L970" s="87"/>
      <c r="M970" s="87"/>
      <c r="N970" s="87"/>
      <c r="O970" s="87"/>
      <c r="P970" s="87"/>
      <c r="Q970" s="87"/>
      <c r="R970" s="87"/>
      <c r="S970" s="87"/>
      <c r="T970" s="87"/>
      <c r="U970" s="87"/>
      <c r="V970" s="87"/>
      <c r="W970" s="87"/>
      <c r="X970" s="87"/>
      <c r="Y970" s="87"/>
      <c r="Z970" s="87"/>
    </row>
    <row r="971" spans="1:26" ht="15.75" customHeight="1">
      <c r="A971" s="87"/>
      <c r="B971" s="87"/>
      <c r="C971" s="87"/>
      <c r="D971" s="87"/>
      <c r="E971" s="87"/>
      <c r="F971" s="87"/>
      <c r="G971" s="87"/>
      <c r="H971" s="87"/>
      <c r="I971" s="87"/>
      <c r="J971" s="87"/>
      <c r="K971" s="87"/>
      <c r="L971" s="87"/>
      <c r="M971" s="87"/>
      <c r="N971" s="87"/>
      <c r="O971" s="87"/>
      <c r="P971" s="87"/>
      <c r="Q971" s="87"/>
      <c r="R971" s="87"/>
      <c r="S971" s="87"/>
      <c r="T971" s="87"/>
      <c r="U971" s="87"/>
      <c r="V971" s="87"/>
      <c r="W971" s="87"/>
      <c r="X971" s="87"/>
      <c r="Y971" s="87"/>
      <c r="Z971" s="87"/>
    </row>
    <row r="972" spans="1:26" ht="15.75" customHeight="1">
      <c r="A972" s="87"/>
      <c r="B972" s="87"/>
      <c r="C972" s="87"/>
      <c r="D972" s="87"/>
      <c r="E972" s="87"/>
      <c r="F972" s="87"/>
      <c r="G972" s="87"/>
      <c r="H972" s="87"/>
      <c r="I972" s="87"/>
      <c r="J972" s="87"/>
      <c r="K972" s="87"/>
      <c r="L972" s="87"/>
      <c r="M972" s="87"/>
      <c r="N972" s="87"/>
      <c r="O972" s="87"/>
      <c r="P972" s="87"/>
      <c r="Q972" s="87"/>
      <c r="R972" s="87"/>
      <c r="S972" s="87"/>
      <c r="T972" s="87"/>
      <c r="U972" s="87"/>
      <c r="V972" s="87"/>
      <c r="W972" s="87"/>
      <c r="X972" s="87"/>
      <c r="Y972" s="87"/>
      <c r="Z972" s="87"/>
    </row>
    <row r="973" spans="1:26" ht="15.75" customHeight="1">
      <c r="A973" s="87"/>
      <c r="B973" s="87"/>
      <c r="C973" s="87"/>
      <c r="D973" s="87"/>
      <c r="E973" s="87"/>
      <c r="F973" s="87"/>
      <c r="G973" s="87"/>
      <c r="H973" s="87"/>
      <c r="I973" s="87"/>
      <c r="J973" s="87"/>
      <c r="K973" s="87"/>
      <c r="L973" s="87"/>
      <c r="M973" s="87"/>
      <c r="N973" s="87"/>
      <c r="O973" s="87"/>
      <c r="P973" s="87"/>
      <c r="Q973" s="87"/>
      <c r="R973" s="87"/>
      <c r="S973" s="87"/>
      <c r="T973" s="87"/>
      <c r="U973" s="87"/>
      <c r="V973" s="87"/>
      <c r="W973" s="87"/>
      <c r="X973" s="87"/>
      <c r="Y973" s="87"/>
      <c r="Z973" s="87"/>
    </row>
    <row r="974" spans="1:26" ht="15.75" customHeight="1">
      <c r="A974" s="87"/>
      <c r="B974" s="87"/>
      <c r="C974" s="87"/>
      <c r="D974" s="87"/>
      <c r="E974" s="87"/>
      <c r="F974" s="87"/>
      <c r="G974" s="87"/>
      <c r="H974" s="87"/>
      <c r="I974" s="87"/>
      <c r="J974" s="87"/>
      <c r="K974" s="87"/>
      <c r="L974" s="87"/>
      <c r="M974" s="87"/>
      <c r="N974" s="87"/>
      <c r="O974" s="87"/>
      <c r="P974" s="87"/>
      <c r="Q974" s="87"/>
      <c r="R974" s="87"/>
      <c r="S974" s="87"/>
      <c r="T974" s="87"/>
      <c r="U974" s="87"/>
      <c r="V974" s="87"/>
      <c r="W974" s="87"/>
      <c r="X974" s="87"/>
      <c r="Y974" s="87"/>
      <c r="Z974" s="87"/>
    </row>
    <row r="975" spans="1:26" ht="15.75" customHeight="1">
      <c r="A975" s="87"/>
      <c r="B975" s="87"/>
      <c r="C975" s="87"/>
      <c r="D975" s="87"/>
      <c r="E975" s="87"/>
      <c r="F975" s="87"/>
      <c r="G975" s="87"/>
      <c r="H975" s="87"/>
      <c r="I975" s="87"/>
      <c r="J975" s="87"/>
      <c r="K975" s="87"/>
      <c r="L975" s="87"/>
      <c r="M975" s="87"/>
      <c r="N975" s="87"/>
      <c r="O975" s="87"/>
      <c r="P975" s="87"/>
      <c r="Q975" s="87"/>
      <c r="R975" s="87"/>
      <c r="S975" s="87"/>
      <c r="T975" s="87"/>
      <c r="U975" s="87"/>
      <c r="V975" s="87"/>
      <c r="W975" s="87"/>
      <c r="X975" s="87"/>
      <c r="Y975" s="87"/>
      <c r="Z975" s="87"/>
    </row>
    <row r="976" spans="1:26" ht="15.75" customHeight="1">
      <c r="A976" s="87"/>
      <c r="B976" s="87"/>
      <c r="C976" s="87"/>
      <c r="D976" s="87"/>
      <c r="E976" s="87"/>
      <c r="F976" s="87"/>
      <c r="G976" s="87"/>
      <c r="H976" s="87"/>
      <c r="I976" s="87"/>
      <c r="J976" s="87"/>
      <c r="K976" s="87"/>
      <c r="L976" s="87"/>
      <c r="M976" s="87"/>
      <c r="N976" s="87"/>
      <c r="O976" s="87"/>
      <c r="P976" s="87"/>
      <c r="Q976" s="87"/>
      <c r="R976" s="87"/>
      <c r="S976" s="87"/>
      <c r="T976" s="87"/>
      <c r="U976" s="87"/>
      <c r="V976" s="87"/>
      <c r="W976" s="87"/>
      <c r="X976" s="87"/>
      <c r="Y976" s="87"/>
      <c r="Z976" s="87"/>
    </row>
    <row r="977" spans="1:26" ht="15.75" customHeight="1">
      <c r="A977" s="87"/>
      <c r="B977" s="87"/>
      <c r="C977" s="87"/>
      <c r="D977" s="87"/>
      <c r="E977" s="87"/>
      <c r="F977" s="87"/>
      <c r="G977" s="87"/>
      <c r="H977" s="87"/>
      <c r="I977" s="87"/>
      <c r="J977" s="87"/>
      <c r="K977" s="87"/>
      <c r="L977" s="87"/>
      <c r="M977" s="87"/>
      <c r="N977" s="87"/>
      <c r="O977" s="87"/>
      <c r="P977" s="87"/>
      <c r="Q977" s="87"/>
      <c r="R977" s="87"/>
      <c r="S977" s="87"/>
      <c r="T977" s="87"/>
      <c r="U977" s="87"/>
      <c r="V977" s="87"/>
      <c r="W977" s="87"/>
      <c r="X977" s="87"/>
      <c r="Y977" s="87"/>
      <c r="Z977" s="87"/>
    </row>
    <row r="978" spans="1:26" ht="15.75" customHeight="1">
      <c r="A978" s="87"/>
      <c r="B978" s="87"/>
      <c r="C978" s="87"/>
      <c r="D978" s="87"/>
      <c r="E978" s="87"/>
      <c r="F978" s="87"/>
      <c r="G978" s="87"/>
      <c r="H978" s="87"/>
      <c r="I978" s="87"/>
      <c r="J978" s="87"/>
      <c r="K978" s="87"/>
      <c r="L978" s="87"/>
      <c r="M978" s="87"/>
      <c r="N978" s="87"/>
      <c r="O978" s="87"/>
      <c r="P978" s="87"/>
      <c r="Q978" s="87"/>
      <c r="R978" s="87"/>
      <c r="S978" s="87"/>
      <c r="T978" s="87"/>
      <c r="U978" s="87"/>
      <c r="V978" s="87"/>
      <c r="W978" s="87"/>
      <c r="X978" s="87"/>
      <c r="Y978" s="87"/>
      <c r="Z978" s="87"/>
    </row>
    <row r="979" spans="1:26" ht="15.75" customHeight="1">
      <c r="A979" s="87"/>
      <c r="B979" s="87"/>
      <c r="C979" s="87"/>
      <c r="D979" s="87"/>
      <c r="E979" s="87"/>
      <c r="F979" s="87"/>
      <c r="G979" s="87"/>
      <c r="H979" s="87"/>
      <c r="I979" s="87"/>
      <c r="J979" s="87"/>
      <c r="K979" s="87"/>
      <c r="L979" s="87"/>
      <c r="M979" s="87"/>
      <c r="N979" s="87"/>
      <c r="O979" s="87"/>
      <c r="P979" s="87"/>
      <c r="Q979" s="87"/>
      <c r="R979" s="87"/>
      <c r="S979" s="87"/>
      <c r="T979" s="87"/>
      <c r="U979" s="87"/>
      <c r="V979" s="87"/>
      <c r="W979" s="87"/>
      <c r="X979" s="87"/>
      <c r="Y979" s="87"/>
      <c r="Z979" s="87"/>
    </row>
    <row r="980" spans="1:26" ht="15.75" customHeight="1">
      <c r="A980" s="87"/>
      <c r="B980" s="87"/>
      <c r="C980" s="87"/>
      <c r="D980" s="87"/>
      <c r="E980" s="87"/>
      <c r="F980" s="87"/>
      <c r="G980" s="87"/>
      <c r="H980" s="87"/>
      <c r="I980" s="87"/>
      <c r="J980" s="87"/>
      <c r="K980" s="87"/>
      <c r="L980" s="87"/>
      <c r="M980" s="87"/>
      <c r="N980" s="87"/>
      <c r="O980" s="87"/>
      <c r="P980" s="87"/>
      <c r="Q980" s="87"/>
      <c r="R980" s="87"/>
      <c r="S980" s="87"/>
      <c r="T980" s="87"/>
      <c r="U980" s="87"/>
      <c r="V980" s="87"/>
      <c r="W980" s="87"/>
      <c r="X980" s="87"/>
      <c r="Y980" s="87"/>
      <c r="Z980" s="87"/>
    </row>
    <row r="981" spans="1:26" ht="15.75" customHeight="1">
      <c r="A981" s="87"/>
      <c r="B981" s="87"/>
      <c r="C981" s="87"/>
      <c r="D981" s="87"/>
      <c r="E981" s="87"/>
      <c r="F981" s="87"/>
      <c r="G981" s="87"/>
      <c r="H981" s="87"/>
      <c r="I981" s="87"/>
      <c r="J981" s="87"/>
      <c r="K981" s="87"/>
      <c r="L981" s="87"/>
      <c r="M981" s="87"/>
      <c r="N981" s="87"/>
      <c r="O981" s="87"/>
      <c r="P981" s="87"/>
      <c r="Q981" s="87"/>
      <c r="R981" s="87"/>
      <c r="S981" s="87"/>
      <c r="T981" s="87"/>
      <c r="U981" s="87"/>
      <c r="V981" s="87"/>
      <c r="W981" s="87"/>
      <c r="X981" s="87"/>
      <c r="Y981" s="87"/>
      <c r="Z981" s="87"/>
    </row>
    <row r="982" spans="1:26" ht="15.75" customHeight="1">
      <c r="A982" s="87"/>
      <c r="B982" s="87"/>
      <c r="C982" s="87"/>
      <c r="D982" s="87"/>
      <c r="E982" s="87"/>
      <c r="F982" s="87"/>
      <c r="G982" s="87"/>
      <c r="H982" s="87"/>
      <c r="I982" s="87"/>
      <c r="J982" s="87"/>
      <c r="K982" s="87"/>
      <c r="L982" s="87"/>
      <c r="M982" s="87"/>
      <c r="N982" s="87"/>
      <c r="O982" s="87"/>
      <c r="P982" s="87"/>
      <c r="Q982" s="87"/>
      <c r="R982" s="87"/>
      <c r="S982" s="87"/>
      <c r="T982" s="87"/>
      <c r="U982" s="87"/>
      <c r="V982" s="87"/>
      <c r="W982" s="87"/>
      <c r="X982" s="87"/>
      <c r="Y982" s="87"/>
      <c r="Z982" s="87"/>
    </row>
    <row r="983" spans="1:26" ht="15.75" customHeight="1">
      <c r="A983" s="87"/>
      <c r="B983" s="87"/>
      <c r="C983" s="87"/>
      <c r="D983" s="87"/>
      <c r="E983" s="87"/>
      <c r="F983" s="87"/>
      <c r="G983" s="87"/>
      <c r="H983" s="87"/>
      <c r="I983" s="87"/>
      <c r="J983" s="87"/>
      <c r="K983" s="87"/>
      <c r="L983" s="87"/>
      <c r="M983" s="87"/>
      <c r="N983" s="87"/>
      <c r="O983" s="87"/>
      <c r="P983" s="87"/>
      <c r="Q983" s="87"/>
      <c r="R983" s="87"/>
      <c r="S983" s="87"/>
      <c r="T983" s="87"/>
      <c r="U983" s="87"/>
      <c r="V983" s="87"/>
      <c r="W983" s="87"/>
      <c r="X983" s="87"/>
      <c r="Y983" s="87"/>
      <c r="Z983" s="87"/>
    </row>
    <row r="984" spans="1:26" ht="15.75" customHeight="1">
      <c r="A984" s="87"/>
      <c r="B984" s="87"/>
      <c r="C984" s="87"/>
      <c r="D984" s="87"/>
      <c r="E984" s="87"/>
      <c r="F984" s="87"/>
      <c r="G984" s="87"/>
      <c r="H984" s="87"/>
      <c r="I984" s="87"/>
      <c r="J984" s="87"/>
      <c r="K984" s="87"/>
      <c r="L984" s="87"/>
      <c r="M984" s="87"/>
      <c r="N984" s="87"/>
      <c r="O984" s="87"/>
      <c r="P984" s="87"/>
      <c r="Q984" s="87"/>
      <c r="R984" s="87"/>
      <c r="S984" s="87"/>
      <c r="T984" s="87"/>
      <c r="U984" s="87"/>
      <c r="V984" s="87"/>
      <c r="W984" s="87"/>
      <c r="X984" s="87"/>
      <c r="Y984" s="87"/>
      <c r="Z984" s="87"/>
    </row>
    <row r="985" spans="1:26" ht="15.75" customHeight="1">
      <c r="A985" s="87"/>
      <c r="B985" s="87"/>
      <c r="C985" s="87"/>
      <c r="D985" s="87"/>
      <c r="E985" s="87"/>
      <c r="F985" s="87"/>
      <c r="G985" s="87"/>
      <c r="H985" s="87"/>
      <c r="I985" s="87"/>
      <c r="J985" s="87"/>
      <c r="K985" s="87"/>
      <c r="L985" s="87"/>
      <c r="M985" s="87"/>
      <c r="N985" s="87"/>
      <c r="O985" s="87"/>
      <c r="P985" s="87"/>
      <c r="Q985" s="87"/>
      <c r="R985" s="87"/>
      <c r="S985" s="87"/>
      <c r="T985" s="87"/>
      <c r="U985" s="87"/>
      <c r="V985" s="87"/>
      <c r="W985" s="87"/>
      <c r="X985" s="87"/>
      <c r="Y985" s="87"/>
      <c r="Z985" s="87"/>
    </row>
    <row r="986" spans="1:26" ht="15.75" customHeight="1">
      <c r="A986" s="87"/>
      <c r="B986" s="87"/>
      <c r="C986" s="87"/>
      <c r="D986" s="87"/>
      <c r="E986" s="87"/>
      <c r="F986" s="87"/>
      <c r="G986" s="87"/>
      <c r="H986" s="87"/>
      <c r="I986" s="87"/>
      <c r="J986" s="87"/>
      <c r="K986" s="87"/>
      <c r="L986" s="87"/>
      <c r="M986" s="87"/>
      <c r="N986" s="87"/>
      <c r="O986" s="87"/>
      <c r="P986" s="87"/>
      <c r="Q986" s="87"/>
      <c r="R986" s="87"/>
      <c r="S986" s="87"/>
      <c r="T986" s="87"/>
      <c r="U986" s="87"/>
      <c r="V986" s="87"/>
      <c r="W986" s="87"/>
      <c r="X986" s="87"/>
      <c r="Y986" s="87"/>
      <c r="Z986" s="87"/>
    </row>
    <row r="987" spans="1:26" ht="15.75" customHeight="1">
      <c r="A987" s="87"/>
      <c r="B987" s="87"/>
      <c r="C987" s="87"/>
      <c r="D987" s="87"/>
      <c r="E987" s="87"/>
      <c r="F987" s="87"/>
      <c r="G987" s="87"/>
      <c r="H987" s="87"/>
      <c r="I987" s="87"/>
      <c r="J987" s="87"/>
      <c r="K987" s="87"/>
      <c r="L987" s="87"/>
      <c r="M987" s="87"/>
      <c r="N987" s="87"/>
      <c r="O987" s="87"/>
      <c r="P987" s="87"/>
      <c r="Q987" s="87"/>
      <c r="R987" s="87"/>
      <c r="S987" s="87"/>
      <c r="T987" s="87"/>
      <c r="U987" s="87"/>
      <c r="V987" s="87"/>
      <c r="W987" s="87"/>
      <c r="X987" s="87"/>
      <c r="Y987" s="87"/>
      <c r="Z987" s="87"/>
    </row>
    <row r="988" spans="1:26" ht="15.75" customHeight="1">
      <c r="A988" s="87"/>
      <c r="B988" s="87"/>
      <c r="C988" s="87"/>
      <c r="D988" s="87"/>
      <c r="E988" s="87"/>
      <c r="F988" s="87"/>
      <c r="G988" s="87"/>
      <c r="H988" s="87"/>
      <c r="I988" s="87"/>
      <c r="J988" s="87"/>
      <c r="K988" s="87"/>
      <c r="L988" s="87"/>
      <c r="M988" s="87"/>
      <c r="N988" s="87"/>
      <c r="O988" s="87"/>
      <c r="P988" s="87"/>
      <c r="Q988" s="87"/>
      <c r="R988" s="87"/>
      <c r="S988" s="87"/>
      <c r="T988" s="87"/>
      <c r="U988" s="87"/>
      <c r="V988" s="87"/>
      <c r="W988" s="87"/>
      <c r="X988" s="87"/>
      <c r="Y988" s="87"/>
      <c r="Z988" s="87"/>
    </row>
    <row r="989" spans="1:26" ht="15.75" customHeight="1">
      <c r="A989" s="87"/>
      <c r="B989" s="87"/>
      <c r="C989" s="87"/>
      <c r="D989" s="87"/>
      <c r="E989" s="87"/>
      <c r="F989" s="87"/>
      <c r="G989" s="87"/>
      <c r="H989" s="87"/>
      <c r="I989" s="87"/>
      <c r="J989" s="87"/>
      <c r="K989" s="87"/>
      <c r="L989" s="87"/>
      <c r="M989" s="87"/>
      <c r="N989" s="87"/>
      <c r="O989" s="87"/>
      <c r="P989" s="87"/>
      <c r="Q989" s="87"/>
      <c r="R989" s="87"/>
      <c r="S989" s="87"/>
      <c r="T989" s="87"/>
      <c r="U989" s="87"/>
      <c r="V989" s="87"/>
      <c r="W989" s="87"/>
      <c r="X989" s="87"/>
      <c r="Y989" s="87"/>
      <c r="Z989" s="87"/>
    </row>
    <row r="990" spans="1:26" ht="15.75" customHeight="1">
      <c r="A990" s="87"/>
      <c r="B990" s="87"/>
      <c r="C990" s="87"/>
      <c r="D990" s="87"/>
      <c r="E990" s="87"/>
      <c r="F990" s="87"/>
      <c r="G990" s="87"/>
      <c r="H990" s="87"/>
      <c r="I990" s="87"/>
      <c r="J990" s="87"/>
      <c r="K990" s="87"/>
      <c r="L990" s="87"/>
      <c r="M990" s="87"/>
      <c r="N990" s="87"/>
      <c r="O990" s="87"/>
      <c r="P990" s="87"/>
      <c r="Q990" s="87"/>
      <c r="R990" s="87"/>
      <c r="S990" s="87"/>
      <c r="T990" s="87"/>
      <c r="U990" s="87"/>
      <c r="V990" s="87"/>
      <c r="W990" s="87"/>
      <c r="X990" s="87"/>
      <c r="Y990" s="87"/>
      <c r="Z990" s="87"/>
    </row>
    <row r="991" spans="1:26" ht="15.75" customHeight="1">
      <c r="A991" s="87"/>
      <c r="B991" s="87"/>
      <c r="C991" s="87"/>
      <c r="D991" s="87"/>
      <c r="E991" s="87"/>
      <c r="F991" s="87"/>
      <c r="G991" s="87"/>
      <c r="H991" s="87"/>
      <c r="I991" s="87"/>
      <c r="J991" s="87"/>
      <c r="K991" s="87"/>
      <c r="L991" s="87"/>
      <c r="M991" s="87"/>
      <c r="N991" s="87"/>
      <c r="O991" s="87"/>
      <c r="P991" s="87"/>
      <c r="Q991" s="87"/>
      <c r="R991" s="87"/>
      <c r="S991" s="87"/>
      <c r="T991" s="87"/>
      <c r="U991" s="87"/>
      <c r="V991" s="87"/>
      <c r="W991" s="87"/>
      <c r="X991" s="87"/>
      <c r="Y991" s="87"/>
      <c r="Z991" s="87"/>
    </row>
    <row r="992" spans="1:26" ht="15.75" customHeight="1">
      <c r="A992" s="87"/>
      <c r="B992" s="87"/>
      <c r="C992" s="87"/>
      <c r="D992" s="87"/>
      <c r="E992" s="87"/>
      <c r="F992" s="87"/>
      <c r="G992" s="87"/>
      <c r="H992" s="87"/>
      <c r="I992" s="87"/>
      <c r="J992" s="87"/>
      <c r="K992" s="87"/>
      <c r="L992" s="87"/>
      <c r="M992" s="87"/>
      <c r="N992" s="87"/>
      <c r="O992" s="87"/>
      <c r="P992" s="87"/>
      <c r="Q992" s="87"/>
      <c r="R992" s="87"/>
      <c r="S992" s="87"/>
      <c r="T992" s="87"/>
      <c r="U992" s="87"/>
      <c r="V992" s="87"/>
      <c r="W992" s="87"/>
      <c r="X992" s="87"/>
      <c r="Y992" s="87"/>
      <c r="Z992" s="87"/>
    </row>
    <row r="993" spans="1:26" ht="15.75" customHeight="1">
      <c r="A993" s="87"/>
      <c r="B993" s="87"/>
      <c r="C993" s="87"/>
      <c r="D993" s="87"/>
      <c r="E993" s="87"/>
      <c r="F993" s="87"/>
      <c r="G993" s="87"/>
      <c r="H993" s="87"/>
      <c r="I993" s="87"/>
      <c r="J993" s="87"/>
      <c r="K993" s="87"/>
      <c r="L993" s="87"/>
      <c r="M993" s="87"/>
      <c r="N993" s="87"/>
      <c r="O993" s="87"/>
      <c r="P993" s="87"/>
      <c r="Q993" s="87"/>
      <c r="R993" s="87"/>
      <c r="S993" s="87"/>
      <c r="T993" s="87"/>
      <c r="U993" s="87"/>
      <c r="V993" s="87"/>
      <c r="W993" s="87"/>
      <c r="X993" s="87"/>
      <c r="Y993" s="87"/>
      <c r="Z993" s="87"/>
    </row>
    <row r="994" spans="1:26" ht="15.75" customHeight="1">
      <c r="A994" s="87"/>
      <c r="B994" s="87"/>
      <c r="C994" s="87"/>
      <c r="D994" s="87"/>
      <c r="E994" s="87"/>
      <c r="F994" s="87"/>
      <c r="G994" s="87"/>
      <c r="H994" s="87"/>
      <c r="I994" s="87"/>
      <c r="J994" s="87"/>
      <c r="K994" s="87"/>
      <c r="L994" s="87"/>
      <c r="M994" s="87"/>
      <c r="N994" s="87"/>
      <c r="O994" s="87"/>
      <c r="P994" s="87"/>
      <c r="Q994" s="87"/>
      <c r="R994" s="87"/>
      <c r="S994" s="87"/>
      <c r="T994" s="87"/>
      <c r="U994" s="87"/>
      <c r="V994" s="87"/>
      <c r="W994" s="87"/>
      <c r="X994" s="87"/>
      <c r="Y994" s="87"/>
      <c r="Z994" s="87"/>
    </row>
    <row r="995" spans="1:26" ht="15.75" customHeight="1">
      <c r="A995" s="87"/>
      <c r="B995" s="87"/>
      <c r="C995" s="87"/>
      <c r="D995" s="87"/>
      <c r="E995" s="87"/>
      <c r="F995" s="87"/>
      <c r="G995" s="87"/>
      <c r="H995" s="87"/>
      <c r="I995" s="87"/>
      <c r="J995" s="87"/>
      <c r="K995" s="87"/>
      <c r="L995" s="87"/>
      <c r="M995" s="87"/>
      <c r="N995" s="87"/>
      <c r="O995" s="87"/>
      <c r="P995" s="87"/>
      <c r="Q995" s="87"/>
      <c r="R995" s="87"/>
      <c r="S995" s="87"/>
      <c r="T995" s="87"/>
      <c r="U995" s="87"/>
      <c r="V995" s="87"/>
      <c r="W995" s="87"/>
      <c r="X995" s="87"/>
      <c r="Y995" s="87"/>
      <c r="Z995" s="87"/>
    </row>
    <row r="996" spans="1:26" ht="15.75" customHeight="1">
      <c r="A996" s="87"/>
      <c r="B996" s="87"/>
      <c r="C996" s="87"/>
      <c r="D996" s="87"/>
      <c r="E996" s="87"/>
      <c r="F996" s="87"/>
      <c r="G996" s="87"/>
      <c r="H996" s="87"/>
      <c r="I996" s="87"/>
      <c r="J996" s="87"/>
      <c r="K996" s="87"/>
      <c r="L996" s="87"/>
      <c r="M996" s="87"/>
      <c r="N996" s="87"/>
      <c r="O996" s="87"/>
      <c r="P996" s="87"/>
      <c r="Q996" s="87"/>
      <c r="R996" s="87"/>
      <c r="S996" s="87"/>
      <c r="T996" s="87"/>
      <c r="U996" s="87"/>
      <c r="V996" s="87"/>
      <c r="W996" s="87"/>
      <c r="X996" s="87"/>
      <c r="Y996" s="87"/>
      <c r="Z996" s="87"/>
    </row>
    <row r="997" spans="1:26" ht="15.75" customHeight="1">
      <c r="A997" s="87"/>
      <c r="B997" s="87"/>
      <c r="C997" s="87"/>
      <c r="D997" s="87"/>
      <c r="E997" s="87"/>
      <c r="F997" s="87"/>
      <c r="G997" s="87"/>
      <c r="H997" s="87"/>
      <c r="I997" s="87"/>
      <c r="J997" s="87"/>
      <c r="K997" s="87"/>
      <c r="L997" s="87"/>
      <c r="M997" s="87"/>
      <c r="N997" s="87"/>
      <c r="O997" s="87"/>
      <c r="P997" s="87"/>
      <c r="Q997" s="87"/>
      <c r="R997" s="87"/>
      <c r="S997" s="87"/>
      <c r="T997" s="87"/>
      <c r="U997" s="87"/>
      <c r="V997" s="87"/>
      <c r="W997" s="87"/>
      <c r="X997" s="87"/>
      <c r="Y997" s="87"/>
      <c r="Z997" s="87"/>
    </row>
    <row r="998" spans="1:26" ht="15.75" customHeight="1">
      <c r="A998" s="87"/>
      <c r="B998" s="87"/>
      <c r="C998" s="87"/>
      <c r="D998" s="87"/>
      <c r="E998" s="87"/>
      <c r="F998" s="87"/>
      <c r="G998" s="87"/>
      <c r="H998" s="87"/>
      <c r="I998" s="87"/>
      <c r="J998" s="87"/>
      <c r="K998" s="87"/>
      <c r="L998" s="87"/>
      <c r="M998" s="87"/>
      <c r="N998" s="87"/>
      <c r="O998" s="87"/>
      <c r="P998" s="87"/>
      <c r="Q998" s="87"/>
      <c r="R998" s="87"/>
      <c r="S998" s="87"/>
      <c r="T998" s="87"/>
      <c r="U998" s="87"/>
      <c r="V998" s="87"/>
      <c r="W998" s="87"/>
      <c r="X998" s="87"/>
      <c r="Y998" s="87"/>
      <c r="Z998" s="87"/>
    </row>
    <row r="999" spans="1:26" ht="15.75" customHeight="1">
      <c r="A999" s="87"/>
      <c r="B999" s="87"/>
      <c r="C999" s="87"/>
      <c r="D999" s="87"/>
      <c r="E999" s="87"/>
      <c r="F999" s="87"/>
      <c r="G999" s="87"/>
      <c r="H999" s="87"/>
      <c r="I999" s="87"/>
      <c r="J999" s="87"/>
      <c r="K999" s="87"/>
      <c r="L999" s="87"/>
      <c r="M999" s="87"/>
      <c r="N999" s="87"/>
      <c r="O999" s="87"/>
      <c r="P999" s="87"/>
      <c r="Q999" s="87"/>
      <c r="R999" s="87"/>
      <c r="S999" s="87"/>
      <c r="T999" s="87"/>
      <c r="U999" s="87"/>
      <c r="V999" s="87"/>
      <c r="W999" s="87"/>
      <c r="X999" s="87"/>
      <c r="Y999" s="87"/>
      <c r="Z999" s="87"/>
    </row>
    <row r="1000" spans="1:26" ht="15.75" customHeight="1">
      <c r="A1000" s="87"/>
      <c r="B1000" s="87"/>
      <c r="C1000" s="87"/>
      <c r="D1000" s="87"/>
      <c r="E1000" s="87"/>
      <c r="F1000" s="87"/>
      <c r="G1000" s="87"/>
      <c r="H1000" s="87"/>
      <c r="I1000" s="87"/>
      <c r="J1000" s="87"/>
      <c r="K1000" s="87"/>
      <c r="L1000" s="87"/>
      <c r="M1000" s="87"/>
      <c r="N1000" s="87"/>
      <c r="O1000" s="87"/>
      <c r="P1000" s="87"/>
      <c r="Q1000" s="87"/>
      <c r="R1000" s="87"/>
      <c r="S1000" s="87"/>
      <c r="T1000" s="87"/>
      <c r="U1000" s="87"/>
      <c r="V1000" s="87"/>
      <c r="W1000" s="87"/>
      <c r="X1000" s="87"/>
      <c r="Y1000" s="87"/>
      <c r="Z1000" s="87"/>
    </row>
    <row r="1001" spans="1:26" ht="15.75" customHeight="1">
      <c r="A1001" s="87"/>
      <c r="B1001" s="87"/>
      <c r="C1001" s="87"/>
      <c r="D1001" s="87"/>
      <c r="E1001" s="87"/>
      <c r="F1001" s="87"/>
      <c r="G1001" s="87"/>
      <c r="H1001" s="87"/>
      <c r="I1001" s="87"/>
      <c r="J1001" s="87"/>
      <c r="K1001" s="87"/>
      <c r="L1001" s="87"/>
      <c r="M1001" s="87"/>
      <c r="N1001" s="87"/>
      <c r="O1001" s="87"/>
      <c r="P1001" s="87"/>
      <c r="Q1001" s="87"/>
      <c r="R1001" s="87"/>
      <c r="S1001" s="87"/>
      <c r="T1001" s="87"/>
      <c r="U1001" s="87"/>
      <c r="V1001" s="87"/>
      <c r="W1001" s="87"/>
      <c r="X1001" s="87"/>
      <c r="Y1001" s="87"/>
      <c r="Z1001" s="87"/>
    </row>
    <row r="1002" spans="1:26" ht="15.75" customHeight="1">
      <c r="A1002" s="87"/>
      <c r="B1002" s="87"/>
      <c r="C1002" s="87"/>
      <c r="D1002" s="87"/>
      <c r="E1002" s="87"/>
      <c r="F1002" s="87"/>
      <c r="G1002" s="87"/>
      <c r="H1002" s="87"/>
      <c r="I1002" s="87"/>
      <c r="J1002" s="87"/>
      <c r="K1002" s="87"/>
      <c r="L1002" s="87"/>
      <c r="M1002" s="87"/>
      <c r="N1002" s="87"/>
      <c r="O1002" s="87"/>
      <c r="P1002" s="87"/>
      <c r="Q1002" s="87"/>
      <c r="R1002" s="87"/>
      <c r="S1002" s="87"/>
      <c r="T1002" s="87"/>
      <c r="U1002" s="87"/>
      <c r="V1002" s="87"/>
      <c r="W1002" s="87"/>
      <c r="X1002" s="87"/>
      <c r="Y1002" s="87"/>
      <c r="Z1002" s="87"/>
    </row>
    <row r="1003" spans="1:26" ht="15.75" customHeight="1">
      <c r="A1003" s="87"/>
      <c r="B1003" s="87"/>
      <c r="C1003" s="87"/>
      <c r="D1003" s="87"/>
      <c r="E1003" s="87"/>
      <c r="F1003" s="87"/>
      <c r="G1003" s="87"/>
      <c r="H1003" s="87"/>
      <c r="I1003" s="87"/>
      <c r="J1003" s="87"/>
      <c r="K1003" s="87"/>
      <c r="L1003" s="87"/>
      <c r="M1003" s="87"/>
      <c r="N1003" s="87"/>
      <c r="O1003" s="87"/>
      <c r="P1003" s="87"/>
      <c r="Q1003" s="87"/>
      <c r="R1003" s="87"/>
      <c r="S1003" s="87"/>
      <c r="T1003" s="87"/>
      <c r="U1003" s="87"/>
      <c r="V1003" s="87"/>
      <c r="W1003" s="87"/>
      <c r="X1003" s="87"/>
      <c r="Y1003" s="87"/>
      <c r="Z1003" s="87"/>
    </row>
    <row r="1004" spans="1:26" ht="15.75" customHeight="1">
      <c r="A1004" s="87"/>
      <c r="B1004" s="87"/>
      <c r="C1004" s="87"/>
      <c r="D1004" s="87"/>
      <c r="E1004" s="87"/>
      <c r="F1004" s="87"/>
      <c r="G1004" s="87"/>
      <c r="H1004" s="87"/>
      <c r="I1004" s="87"/>
      <c r="J1004" s="87"/>
      <c r="K1004" s="87"/>
      <c r="L1004" s="87"/>
      <c r="M1004" s="87"/>
      <c r="N1004" s="87"/>
      <c r="O1004" s="87"/>
      <c r="P1004" s="87"/>
      <c r="Q1004" s="87"/>
      <c r="R1004" s="87"/>
      <c r="S1004" s="87"/>
      <c r="T1004" s="87"/>
      <c r="U1004" s="87"/>
      <c r="V1004" s="87"/>
      <c r="W1004" s="87"/>
      <c r="X1004" s="87"/>
      <c r="Y1004" s="87"/>
      <c r="Z1004" s="87"/>
    </row>
    <row r="1005" spans="1:26" ht="15.75" customHeight="1">
      <c r="A1005" s="87"/>
      <c r="B1005" s="87"/>
      <c r="C1005" s="87"/>
      <c r="D1005" s="87"/>
      <c r="E1005" s="87"/>
      <c r="F1005" s="87"/>
      <c r="G1005" s="87"/>
      <c r="H1005" s="87"/>
      <c r="I1005" s="87"/>
      <c r="J1005" s="87"/>
      <c r="K1005" s="87"/>
      <c r="L1005" s="87"/>
      <c r="M1005" s="87"/>
      <c r="N1005" s="87"/>
      <c r="O1005" s="87"/>
      <c r="P1005" s="87"/>
      <c r="Q1005" s="87"/>
      <c r="R1005" s="87"/>
      <c r="S1005" s="87"/>
      <c r="T1005" s="87"/>
      <c r="U1005" s="87"/>
      <c r="V1005" s="87"/>
      <c r="W1005" s="87"/>
      <c r="X1005" s="87"/>
      <c r="Y1005" s="87"/>
      <c r="Z1005" s="87"/>
    </row>
  </sheetData>
  <mergeCells count="4">
    <mergeCell ref="C15:G15"/>
    <mergeCell ref="C16:G16"/>
    <mergeCell ref="A17:B17"/>
    <mergeCell ref="A18:B18"/>
  </mergeCells>
  <hyperlinks>
    <hyperlink ref="C14" r:id="rId1" xr:uid="{A70C7BE3-2C66-46A5-A6B5-25B14AFEBC01}"/>
    <hyperlink ref="C15" r:id="rId2" xr:uid="{03FBFB66-5FD0-4AA0-9B29-6C6A745A88BA}"/>
    <hyperlink ref="C16" r:id="rId3" xr:uid="{CBF91C68-4393-4A99-82B1-3585218A378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8AAB-FF45-47D0-8021-D59B4CAF01FF}">
  <sheetPr>
    <tabColor theme="9" tint="0.59999389629810485"/>
    <outlinePr summaryBelow="0" summaryRight="0"/>
  </sheetPr>
  <dimension ref="B1:P993"/>
  <sheetViews>
    <sheetView workbookViewId="0">
      <selection activeCell="B21" sqref="B21"/>
    </sheetView>
  </sheetViews>
  <sheetFormatPr defaultColWidth="12.6640625" defaultRowHeight="15" customHeight="1"/>
  <cols>
    <col min="1" max="4" width="12.6640625" style="10"/>
    <col min="5" max="5" width="21.44140625" style="10" customWidth="1"/>
    <col min="6" max="6" width="19.21875" style="10" customWidth="1"/>
    <col min="7" max="16384" width="12.6640625" style="10"/>
  </cols>
  <sheetData>
    <row r="1" spans="2:16" ht="15.75" customHeight="1">
      <c r="B1" s="56" t="s">
        <v>142</v>
      </c>
    </row>
    <row r="2" spans="2:16" ht="15.75" customHeight="1">
      <c r="B2" s="110" t="s">
        <v>143</v>
      </c>
    </row>
    <row r="3" spans="2:16" ht="15.75" customHeight="1"/>
    <row r="4" spans="2:16" ht="15.75" customHeight="1"/>
    <row r="5" spans="2:16" ht="15.75" customHeight="1">
      <c r="B5" s="691" t="s">
        <v>8</v>
      </c>
      <c r="C5" s="692">
        <v>38108</v>
      </c>
      <c r="D5" s="667"/>
      <c r="E5" s="695">
        <v>40087</v>
      </c>
      <c r="F5" s="669"/>
      <c r="G5" s="669"/>
      <c r="H5" s="669"/>
      <c r="I5" s="669"/>
      <c r="J5" s="667"/>
      <c r="K5" s="695">
        <v>40878</v>
      </c>
      <c r="L5" s="669"/>
      <c r="M5" s="669"/>
      <c r="N5" s="669"/>
      <c r="O5" s="669"/>
      <c r="P5" s="667"/>
    </row>
    <row r="6" spans="2:16" ht="15.75" customHeight="1">
      <c r="B6" s="664"/>
      <c r="C6" s="693"/>
      <c r="D6" s="694"/>
      <c r="E6" s="693"/>
      <c r="F6" s="696"/>
      <c r="G6" s="696"/>
      <c r="H6" s="696"/>
      <c r="I6" s="696"/>
      <c r="J6" s="694"/>
      <c r="K6" s="693"/>
      <c r="L6" s="696"/>
      <c r="M6" s="696"/>
      <c r="N6" s="696"/>
      <c r="O6" s="696"/>
      <c r="P6" s="694"/>
    </row>
    <row r="7" spans="2:16" ht="15.75" customHeight="1">
      <c r="B7" s="665"/>
      <c r="C7" s="111" t="s">
        <v>2</v>
      </c>
      <c r="D7" s="112" t="s">
        <v>1</v>
      </c>
      <c r="E7" s="113" t="s">
        <v>144</v>
      </c>
      <c r="F7" s="113" t="s">
        <v>145</v>
      </c>
      <c r="G7" s="113" t="s">
        <v>2</v>
      </c>
      <c r="H7" s="113" t="s">
        <v>146</v>
      </c>
      <c r="I7" s="113" t="s">
        <v>147</v>
      </c>
      <c r="J7" s="113" t="s">
        <v>1</v>
      </c>
      <c r="K7" s="113" t="s">
        <v>144</v>
      </c>
      <c r="L7" s="113" t="s">
        <v>145</v>
      </c>
      <c r="M7" s="113" t="s">
        <v>2</v>
      </c>
      <c r="N7" s="113" t="s">
        <v>146</v>
      </c>
      <c r="O7" s="113" t="s">
        <v>147</v>
      </c>
      <c r="P7" s="113" t="s">
        <v>1</v>
      </c>
    </row>
    <row r="8" spans="2:16" ht="15.75" customHeight="1">
      <c r="B8" s="114" t="s">
        <v>0</v>
      </c>
      <c r="C8" s="115">
        <v>56.7</v>
      </c>
      <c r="D8" s="116">
        <v>55.4</v>
      </c>
      <c r="E8" s="117">
        <v>54</v>
      </c>
      <c r="F8" s="117">
        <v>59.9</v>
      </c>
      <c r="G8" s="118">
        <v>56.95</v>
      </c>
      <c r="H8" s="117">
        <v>52.7</v>
      </c>
      <c r="I8" s="117">
        <v>59</v>
      </c>
      <c r="J8" s="116">
        <v>55.85</v>
      </c>
      <c r="K8" s="117">
        <v>56.8</v>
      </c>
      <c r="L8" s="117">
        <v>62.7</v>
      </c>
      <c r="M8" s="118">
        <v>59.75</v>
      </c>
      <c r="N8" s="117">
        <v>54.6</v>
      </c>
      <c r="O8" s="117">
        <v>61</v>
      </c>
      <c r="P8" s="116">
        <v>57.8</v>
      </c>
    </row>
    <row r="9" spans="2:16" ht="15.75" customHeight="1"/>
    <row r="10" spans="2:16" ht="15.75" customHeight="1"/>
    <row r="11" spans="2:16" ht="112.95" customHeight="1">
      <c r="B11" s="697" t="s">
        <v>148</v>
      </c>
      <c r="C11" s="698"/>
      <c r="D11" s="698"/>
      <c r="E11" s="698"/>
      <c r="F11" s="698"/>
      <c r="G11" s="698"/>
    </row>
    <row r="12" spans="2:16" ht="15.75" customHeight="1"/>
    <row r="13" spans="2:16" ht="15.75" customHeight="1">
      <c r="B13" s="284"/>
      <c r="C13" s="220"/>
      <c r="D13" s="220"/>
      <c r="E13" s="220"/>
    </row>
    <row r="14" spans="2:16" ht="15.75" customHeight="1"/>
    <row r="15" spans="2:16" ht="15.75" customHeight="1">
      <c r="B15" s="283"/>
      <c r="C15" s="220"/>
      <c r="D15" s="220"/>
      <c r="E15" s="220"/>
    </row>
    <row r="16" spans="2: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5">
    <mergeCell ref="B5:B7"/>
    <mergeCell ref="C5:D6"/>
    <mergeCell ref="E5:J6"/>
    <mergeCell ref="K5:P6"/>
    <mergeCell ref="B11:G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953CB-1902-42FB-A3C2-8B25F80B88EB}">
  <sheetPr>
    <tabColor theme="9" tint="0.59999389629810485"/>
    <outlinePr summaryBelow="0" summaryRight="0"/>
  </sheetPr>
  <dimension ref="B1:H994"/>
  <sheetViews>
    <sheetView workbookViewId="0">
      <selection activeCell="B21" sqref="B21"/>
    </sheetView>
  </sheetViews>
  <sheetFormatPr defaultColWidth="12.6640625" defaultRowHeight="15" customHeight="1"/>
  <cols>
    <col min="1" max="2" width="12.6640625" style="10"/>
    <col min="3" max="3" width="32.88671875" style="10" customWidth="1"/>
    <col min="4" max="7" width="12.6640625" style="10"/>
    <col min="8" max="8" width="19.33203125" style="10" customWidth="1"/>
    <col min="9" max="16384" width="12.6640625" style="10"/>
  </cols>
  <sheetData>
    <row r="1" spans="2:8" ht="15.75" customHeight="1"/>
    <row r="2" spans="2:8" ht="15.75" customHeight="1">
      <c r="B2" s="119" t="s">
        <v>149</v>
      </c>
      <c r="C2" s="120"/>
      <c r="D2" s="120"/>
      <c r="E2" s="120"/>
      <c r="F2" s="120"/>
      <c r="G2" s="120"/>
      <c r="H2" s="120"/>
    </row>
    <row r="3" spans="2:8" ht="15.75" customHeight="1">
      <c r="B3" s="699" t="s">
        <v>150</v>
      </c>
      <c r="C3" s="688"/>
      <c r="D3" s="688"/>
      <c r="E3" s="688"/>
      <c r="F3" s="688"/>
      <c r="G3" s="688"/>
      <c r="H3" s="688"/>
    </row>
    <row r="4" spans="2:8" ht="15.75" customHeight="1"/>
    <row r="5" spans="2:8" ht="15.75" customHeight="1"/>
    <row r="6" spans="2:8" ht="15.75" customHeight="1">
      <c r="B6" s="121" t="s">
        <v>8</v>
      </c>
      <c r="C6" s="122" t="s">
        <v>151</v>
      </c>
    </row>
    <row r="7" spans="2:8" ht="15.75" customHeight="1">
      <c r="B7" s="79" t="s">
        <v>0</v>
      </c>
      <c r="C7" s="123">
        <v>40.5</v>
      </c>
    </row>
    <row r="8" spans="2:8" ht="15.75" customHeight="1"/>
    <row r="9" spans="2:8" ht="15.75" customHeight="1">
      <c r="B9" s="700" t="s">
        <v>152</v>
      </c>
      <c r="C9" s="688"/>
      <c r="D9" s="688"/>
      <c r="E9" s="688"/>
      <c r="F9" s="688"/>
    </row>
    <row r="10" spans="2:8" ht="15.75" customHeight="1"/>
    <row r="11" spans="2:8" ht="15.75" customHeight="1">
      <c r="B11" s="701" t="s">
        <v>153</v>
      </c>
      <c r="C11" s="688"/>
      <c r="D11" s="688"/>
      <c r="E11" s="688"/>
      <c r="F11" s="688"/>
    </row>
    <row r="12" spans="2:8" ht="15.75" customHeight="1"/>
    <row r="13" spans="2:8" ht="15.75" customHeight="1">
      <c r="B13" s="702"/>
      <c r="C13" s="688"/>
      <c r="D13" s="688"/>
      <c r="E13" s="688"/>
      <c r="F13" s="688"/>
    </row>
    <row r="14" spans="2:8" ht="15.75" customHeight="1"/>
    <row r="15" spans="2:8" ht="15.75" customHeight="1"/>
    <row r="16" spans="2: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3:H3"/>
    <mergeCell ref="B9:F9"/>
    <mergeCell ref="B11:F11"/>
    <mergeCell ref="B13:F13"/>
  </mergeCells>
  <hyperlinks>
    <hyperlink ref="B11" r:id="rId1" xr:uid="{2657AC36-A8BF-482E-8660-B7FE3592709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7D8A-D3F4-42DD-97F0-5EC31FCAC4D0}">
  <sheetPr>
    <tabColor theme="9" tint="0.59999389629810485"/>
    <outlinePr summaryBelow="0" summaryRight="0"/>
  </sheetPr>
  <dimension ref="A1:AG1005"/>
  <sheetViews>
    <sheetView topLeftCell="B1" workbookViewId="0">
      <selection activeCell="B21" sqref="B21"/>
    </sheetView>
  </sheetViews>
  <sheetFormatPr defaultColWidth="12.6640625" defaultRowHeight="15" customHeight="1"/>
  <cols>
    <col min="1" max="1" width="20.21875" style="10" customWidth="1"/>
    <col min="2" max="2" width="33.44140625" style="10" customWidth="1"/>
    <col min="3" max="3" width="31.44140625" style="10" customWidth="1"/>
    <col min="4" max="4" width="50.21875" style="10" customWidth="1"/>
    <col min="5" max="5" width="40.6640625" style="10" customWidth="1"/>
    <col min="6" max="6" width="12.6640625" style="10"/>
    <col min="7" max="7" width="24.21875" style="10" customWidth="1"/>
    <col min="8" max="8" width="16" style="10" customWidth="1"/>
    <col min="9" max="20" width="12.6640625" style="10"/>
    <col min="21" max="21" width="11.88671875" style="10" customWidth="1"/>
    <col min="22" max="22" width="17.44140625" style="10" customWidth="1"/>
    <col min="23" max="16384" width="12.6640625" style="10"/>
  </cols>
  <sheetData>
    <row r="1" spans="1:33" ht="15.75" customHeight="1">
      <c r="A1" s="56" t="s">
        <v>154</v>
      </c>
    </row>
    <row r="2" spans="1:33" ht="15.75" customHeight="1">
      <c r="B2" s="703" t="s">
        <v>155</v>
      </c>
      <c r="C2" s="688"/>
      <c r="D2" s="688"/>
      <c r="E2" s="688"/>
      <c r="F2" s="120"/>
      <c r="G2" s="120"/>
      <c r="H2" s="120"/>
    </row>
    <row r="3" spans="1:33" ht="15.75" customHeight="1"/>
    <row r="4" spans="1:33" ht="15.75" customHeight="1"/>
    <row r="5" spans="1:33" ht="15.75" customHeight="1">
      <c r="B5" s="125" t="s">
        <v>8</v>
      </c>
      <c r="C5" s="704" t="s">
        <v>234</v>
      </c>
      <c r="D5" s="670"/>
      <c r="E5" s="670"/>
      <c r="F5" s="672"/>
      <c r="G5" s="704" t="s">
        <v>235</v>
      </c>
      <c r="H5" s="670"/>
      <c r="I5" s="670"/>
      <c r="J5" s="672"/>
      <c r="K5" s="126"/>
      <c r="L5" s="126"/>
      <c r="M5" s="126"/>
      <c r="N5" s="126"/>
      <c r="O5" s="126"/>
      <c r="P5" s="126"/>
      <c r="V5" s="705"/>
      <c r="W5" s="688"/>
      <c r="X5" s="688"/>
      <c r="Y5" s="688"/>
      <c r="Z5" s="705"/>
      <c r="AA5" s="688"/>
      <c r="AB5" s="688"/>
      <c r="AC5" s="688"/>
      <c r="AD5" s="688"/>
      <c r="AE5" s="688"/>
      <c r="AF5" s="688"/>
      <c r="AG5" s="688"/>
    </row>
    <row r="6" spans="1:33" ht="15.75" customHeight="1">
      <c r="B6" s="127" t="s">
        <v>0</v>
      </c>
      <c r="C6" s="128" t="s">
        <v>156</v>
      </c>
      <c r="D6" s="129" t="s">
        <v>157</v>
      </c>
      <c r="E6" s="130" t="s">
        <v>158</v>
      </c>
      <c r="F6" s="129" t="s">
        <v>159</v>
      </c>
      <c r="G6" s="128" t="s">
        <v>156</v>
      </c>
      <c r="H6" s="129" t="s">
        <v>157</v>
      </c>
      <c r="I6" s="130" t="s">
        <v>158</v>
      </c>
      <c r="J6" s="129" t="s">
        <v>159</v>
      </c>
      <c r="K6" s="131"/>
      <c r="L6" s="131"/>
      <c r="M6" s="131"/>
      <c r="N6" s="131"/>
      <c r="O6" s="131"/>
      <c r="P6" s="131"/>
      <c r="Q6" s="708"/>
      <c r="R6" s="708"/>
      <c r="S6" s="708"/>
      <c r="T6" s="708"/>
      <c r="U6" s="708"/>
      <c r="V6" s="707"/>
      <c r="W6" s="707"/>
      <c r="X6" s="707"/>
      <c r="Y6" s="707"/>
      <c r="Z6" s="707"/>
      <c r="AA6" s="688"/>
      <c r="AB6" s="688"/>
      <c r="AC6" s="707"/>
      <c r="AD6" s="707"/>
      <c r="AE6" s="707"/>
      <c r="AF6" s="688"/>
      <c r="AG6" s="707"/>
    </row>
    <row r="7" spans="1:33" ht="15.75" customHeight="1">
      <c r="A7" s="132"/>
      <c r="B7" s="127"/>
      <c r="C7" s="133">
        <f>' Urban degree of utilization'!F12</f>
        <v>1.7637853508587038E-3</v>
      </c>
      <c r="D7" s="133">
        <f>' Urban degree of utilization'!F13</f>
        <v>0.29430799026039939</v>
      </c>
      <c r="E7" s="134">
        <f>' Urban degree of utilization'!F14</f>
        <v>0.68612847068277938</v>
      </c>
      <c r="F7" s="134">
        <f>' Urban degree of utilization'!F15</f>
        <v>1.7799753705962422E-2</v>
      </c>
      <c r="G7" s="135">
        <f>' Urban degree of utilization'!K12</f>
        <v>2.5695561342758207E-3</v>
      </c>
      <c r="H7" s="134">
        <f>' Urban degree of utilization'!K13</f>
        <v>0.2461464098674985</v>
      </c>
      <c r="I7" s="134">
        <f>' Urban degree of utilization'!K14</f>
        <v>0.74056881206536362</v>
      </c>
      <c r="J7" s="135">
        <f>' Urban degree of utilization'!K15</f>
        <v>1.071522193286209E-2</v>
      </c>
      <c r="K7" s="136"/>
      <c r="L7" s="137"/>
      <c r="M7" s="136"/>
      <c r="N7" s="136"/>
      <c r="O7" s="137"/>
      <c r="P7" s="136"/>
      <c r="Q7" s="688"/>
      <c r="R7" s="688"/>
      <c r="S7" s="688"/>
      <c r="T7" s="688"/>
      <c r="U7" s="688"/>
      <c r="V7" s="688"/>
      <c r="W7" s="688"/>
      <c r="X7" s="688"/>
      <c r="Y7" s="688"/>
      <c r="Z7" s="138"/>
      <c r="AA7" s="138"/>
      <c r="AB7" s="138"/>
      <c r="AC7" s="688"/>
      <c r="AD7" s="688"/>
      <c r="AE7" s="138"/>
      <c r="AF7" s="139"/>
      <c r="AG7" s="688"/>
    </row>
    <row r="8" spans="1:33" ht="15.75" customHeight="1">
      <c r="B8" s="120"/>
      <c r="C8" s="140"/>
      <c r="D8" s="140"/>
      <c r="E8" s="140"/>
      <c r="F8" s="140"/>
      <c r="G8" s="141"/>
      <c r="H8" s="140"/>
      <c r="I8" s="140"/>
      <c r="J8" s="140"/>
      <c r="K8" s="140"/>
      <c r="L8" s="140"/>
      <c r="M8" s="140"/>
      <c r="N8" s="140"/>
      <c r="O8" s="140"/>
      <c r="P8" s="140"/>
      <c r="Q8" s="110"/>
      <c r="R8" s="110"/>
      <c r="S8" s="110"/>
      <c r="T8" s="110"/>
      <c r="U8" s="110"/>
      <c r="V8" s="140"/>
      <c r="W8" s="140"/>
      <c r="X8" s="140"/>
      <c r="Y8" s="140"/>
      <c r="Z8" s="142"/>
      <c r="AA8" s="142"/>
      <c r="AB8" s="143"/>
      <c r="AE8" s="143"/>
      <c r="AF8" s="143"/>
      <c r="AG8" s="142"/>
    </row>
    <row r="9" spans="1:33" ht="15.75" customHeight="1">
      <c r="A9" s="55"/>
      <c r="B9" s="79"/>
      <c r="C9" s="144">
        <v>2005</v>
      </c>
      <c r="D9" s="144">
        <v>2015</v>
      </c>
      <c r="E9" s="79"/>
      <c r="F9" s="56"/>
      <c r="G9" s="76"/>
      <c r="H9" s="56"/>
      <c r="I9" s="56"/>
      <c r="J9" s="56"/>
      <c r="K9" s="56"/>
      <c r="L9" s="56"/>
      <c r="M9" s="56"/>
      <c r="N9" s="56"/>
    </row>
    <row r="10" spans="1:33" ht="15.75" customHeight="1">
      <c r="A10" s="145"/>
      <c r="B10" s="146" t="s">
        <v>91</v>
      </c>
      <c r="C10" s="146" t="s">
        <v>160</v>
      </c>
      <c r="D10" s="146" t="s">
        <v>161</v>
      </c>
      <c r="E10" s="147" t="s">
        <v>162</v>
      </c>
      <c r="F10" s="56"/>
      <c r="G10" s="56"/>
      <c r="H10" s="56"/>
      <c r="I10" s="56"/>
      <c r="J10" s="56"/>
      <c r="K10" s="56"/>
      <c r="L10" s="56"/>
      <c r="M10" s="56"/>
      <c r="N10" s="56"/>
    </row>
    <row r="11" spans="1:33" ht="15.75" customHeight="1">
      <c r="A11" s="145"/>
      <c r="B11" s="148" t="s">
        <v>92</v>
      </c>
      <c r="C11" s="149">
        <f>D7</f>
        <v>0.29430799026039939</v>
      </c>
      <c r="D11" s="150">
        <f>H7</f>
        <v>0.2461464098674985</v>
      </c>
      <c r="E11" s="151">
        <f>(((D11/C11)^(1/10))-1)</f>
        <v>-1.7711306301584018E-2</v>
      </c>
      <c r="F11" s="56"/>
      <c r="G11" s="56"/>
      <c r="H11" s="56"/>
      <c r="I11" s="56"/>
      <c r="J11" s="56"/>
      <c r="K11" s="56"/>
      <c r="L11" s="56"/>
      <c r="M11" s="56"/>
      <c r="N11" s="56"/>
    </row>
    <row r="12" spans="1:33" ht="15.75" customHeight="1">
      <c r="A12" s="145"/>
      <c r="B12" s="148" t="s">
        <v>93</v>
      </c>
      <c r="C12" s="149">
        <f>E7</f>
        <v>0.68612847068277938</v>
      </c>
      <c r="D12" s="150">
        <f>I7</f>
        <v>0.74056881206536362</v>
      </c>
      <c r="E12" s="151">
        <f>(((D12/C12)^(1/10))-1)</f>
        <v>7.6645908097521254E-3</v>
      </c>
      <c r="F12" s="56"/>
      <c r="G12" s="56"/>
      <c r="H12" s="56"/>
      <c r="I12" s="56"/>
      <c r="J12" s="56"/>
      <c r="K12" s="56"/>
      <c r="L12" s="56"/>
      <c r="M12" s="56"/>
      <c r="N12" s="56"/>
    </row>
    <row r="13" spans="1:33" ht="15.75" customHeight="1">
      <c r="A13" s="145"/>
      <c r="B13" s="148" t="s">
        <v>94</v>
      </c>
      <c r="C13" s="149">
        <f>C7</f>
        <v>1.7637853508587038E-3</v>
      </c>
      <c r="D13" s="150">
        <f>G7</f>
        <v>2.5695561342758207E-3</v>
      </c>
      <c r="E13" s="151">
        <f>(((D13/C13)^(1/10))-1)</f>
        <v>3.8343952514575674E-2</v>
      </c>
      <c r="F13" s="56"/>
      <c r="G13" s="56"/>
      <c r="H13" s="56"/>
      <c r="I13" s="56"/>
      <c r="J13" s="56"/>
      <c r="K13" s="56"/>
      <c r="L13" s="56"/>
      <c r="M13" s="56"/>
      <c r="N13" s="56"/>
    </row>
    <row r="14" spans="1:33" ht="15.75" customHeight="1">
      <c r="A14" s="145"/>
      <c r="B14" s="148" t="s">
        <v>95</v>
      </c>
      <c r="C14" s="149">
        <f>F7</f>
        <v>1.7799753705962422E-2</v>
      </c>
      <c r="D14" s="150">
        <f>J7</f>
        <v>1.071522193286209E-2</v>
      </c>
      <c r="E14" s="151">
        <f>(((D14/C14)^(1/10))-1)</f>
        <v>-4.9485562637315406E-2</v>
      </c>
      <c r="F14" s="56"/>
      <c r="G14" s="56"/>
      <c r="H14" s="56"/>
      <c r="I14" s="56"/>
      <c r="J14" s="56"/>
      <c r="K14" s="56"/>
      <c r="L14" s="56"/>
      <c r="M14" s="56"/>
      <c r="N14" s="56"/>
    </row>
    <row r="15" spans="1:33" ht="15.75" customHeight="1">
      <c r="A15" s="56" t="s">
        <v>96</v>
      </c>
      <c r="B15" s="56"/>
      <c r="C15" s="56"/>
      <c r="D15" s="56"/>
      <c r="E15" s="56"/>
      <c r="F15" s="56"/>
      <c r="G15" s="56"/>
      <c r="H15" s="56"/>
      <c r="I15" s="56"/>
      <c r="J15" s="56"/>
      <c r="K15" s="56"/>
      <c r="L15" s="56"/>
      <c r="M15" s="56"/>
      <c r="N15" s="56"/>
    </row>
    <row r="16" spans="1:33" ht="15.75" customHeight="1">
      <c r="A16" s="56"/>
      <c r="C16" s="56"/>
      <c r="D16" s="56"/>
      <c r="E16" s="56"/>
      <c r="F16" s="56"/>
      <c r="G16" s="56"/>
      <c r="H16" s="56"/>
      <c r="I16" s="56"/>
      <c r="J16" s="56"/>
      <c r="K16" s="56"/>
      <c r="L16" s="56"/>
      <c r="M16" s="56"/>
      <c r="N16" s="56"/>
    </row>
    <row r="17" spans="1:22" ht="15.75" customHeight="1">
      <c r="A17" s="79"/>
      <c r="B17" s="152">
        <v>2005</v>
      </c>
      <c r="C17" s="152">
        <v>2006</v>
      </c>
      <c r="D17" s="152">
        <v>2007</v>
      </c>
      <c r="E17" s="152">
        <v>2008</v>
      </c>
      <c r="F17" s="152">
        <v>2009</v>
      </c>
      <c r="G17" s="152">
        <v>2010</v>
      </c>
      <c r="H17" s="152">
        <v>2011</v>
      </c>
      <c r="I17" s="152">
        <v>2012</v>
      </c>
      <c r="J17" s="144">
        <v>2013</v>
      </c>
      <c r="K17" s="144">
        <v>2014</v>
      </c>
      <c r="L17" s="144">
        <v>2015</v>
      </c>
      <c r="M17" s="152">
        <v>2016</v>
      </c>
      <c r="N17" s="152">
        <v>2017</v>
      </c>
      <c r="O17" s="152">
        <v>2018</v>
      </c>
      <c r="P17" s="152">
        <v>2019</v>
      </c>
      <c r="Q17" s="152">
        <v>2020</v>
      </c>
      <c r="R17" s="152">
        <v>2021</v>
      </c>
      <c r="S17" s="152">
        <v>2022</v>
      </c>
      <c r="T17" s="152">
        <v>2023</v>
      </c>
    </row>
    <row r="18" spans="1:22" ht="15.75" customHeight="1">
      <c r="A18" s="152" t="s">
        <v>163</v>
      </c>
      <c r="B18" s="77">
        <v>0.25790414986813787</v>
      </c>
      <c r="C18" s="77">
        <v>0.25747782955057869</v>
      </c>
      <c r="D18" s="77">
        <v>0.25707469807663635</v>
      </c>
      <c r="E18" s="77">
        <v>0.25664161883912195</v>
      </c>
      <c r="F18" s="77">
        <v>0.25620174382761352</v>
      </c>
      <c r="G18" s="77">
        <v>0.25579159017396624</v>
      </c>
      <c r="H18" s="77">
        <v>0.47700703174792142</v>
      </c>
      <c r="I18" s="77">
        <v>0.50084718052376564</v>
      </c>
      <c r="J18" s="77">
        <v>0.52469372693726934</v>
      </c>
      <c r="K18" s="77">
        <v>0.54850625934504094</v>
      </c>
      <c r="L18" s="77">
        <v>0.57223969252271134</v>
      </c>
      <c r="M18" s="77">
        <v>0.5958123662444329</v>
      </c>
      <c r="N18" s="77">
        <v>0.61919967779983309</v>
      </c>
      <c r="O18" s="77">
        <v>0.64238903356895516</v>
      </c>
      <c r="P18" s="77">
        <v>0.66530960854092525</v>
      </c>
      <c r="Q18" s="77">
        <v>0.68788059025122494</v>
      </c>
      <c r="R18" s="77">
        <v>0.7100791794640593</v>
      </c>
      <c r="S18" s="77">
        <v>0.73187775376757502</v>
      </c>
      <c r="T18" s="77">
        <v>0.75321444543828264</v>
      </c>
    </row>
    <row r="19" spans="1:22" ht="15.75" customHeight="1">
      <c r="A19" s="152" t="s">
        <v>164</v>
      </c>
      <c r="B19" s="77">
        <f t="shared" ref="B19:T19" si="0">100%-B18</f>
        <v>0.74209585013186219</v>
      </c>
      <c r="C19" s="77">
        <f t="shared" si="0"/>
        <v>0.74252217044942137</v>
      </c>
      <c r="D19" s="77">
        <f t="shared" si="0"/>
        <v>0.7429253019233637</v>
      </c>
      <c r="E19" s="77">
        <f t="shared" si="0"/>
        <v>0.74335838116087805</v>
      </c>
      <c r="F19" s="77">
        <f t="shared" si="0"/>
        <v>0.74379825617238648</v>
      </c>
      <c r="G19" s="77">
        <f t="shared" si="0"/>
        <v>0.74420840982603376</v>
      </c>
      <c r="H19" s="77">
        <f t="shared" si="0"/>
        <v>0.52299296825207864</v>
      </c>
      <c r="I19" s="77">
        <f t="shared" si="0"/>
        <v>0.49915281947623436</v>
      </c>
      <c r="J19" s="77">
        <f t="shared" si="0"/>
        <v>0.47530627306273066</v>
      </c>
      <c r="K19" s="77">
        <f t="shared" si="0"/>
        <v>0.45149374065495906</v>
      </c>
      <c r="L19" s="77">
        <f t="shared" si="0"/>
        <v>0.42776030747728866</v>
      </c>
      <c r="M19" s="77">
        <f t="shared" si="0"/>
        <v>0.4041876337555671</v>
      </c>
      <c r="N19" s="77">
        <f t="shared" si="0"/>
        <v>0.38080032220016691</v>
      </c>
      <c r="O19" s="77">
        <f t="shared" si="0"/>
        <v>0.35761096643104484</v>
      </c>
      <c r="P19" s="77">
        <f t="shared" si="0"/>
        <v>0.33469039145907475</v>
      </c>
      <c r="Q19" s="77">
        <f t="shared" si="0"/>
        <v>0.31211940974877506</v>
      </c>
      <c r="R19" s="77">
        <f t="shared" si="0"/>
        <v>0.2899208205359407</v>
      </c>
      <c r="S19" s="77">
        <f t="shared" si="0"/>
        <v>0.26812224623242498</v>
      </c>
      <c r="T19" s="77">
        <f t="shared" si="0"/>
        <v>0.24678555456171736</v>
      </c>
    </row>
    <row r="20" spans="1:22" ht="15.75" customHeight="1">
      <c r="A20" s="56"/>
      <c r="B20" s="76"/>
      <c r="C20" s="76"/>
      <c r="D20" s="76"/>
      <c r="E20" s="76"/>
      <c r="F20" s="76"/>
      <c r="G20" s="76"/>
      <c r="H20" s="76"/>
      <c r="I20" s="76"/>
      <c r="J20" s="76"/>
      <c r="K20" s="76"/>
      <c r="L20" s="76"/>
      <c r="M20" s="76"/>
      <c r="N20" s="76"/>
      <c r="O20" s="76"/>
      <c r="P20" s="76"/>
      <c r="Q20" s="76"/>
      <c r="R20" s="76"/>
      <c r="S20" s="76"/>
      <c r="T20" s="76"/>
    </row>
    <row r="21" spans="1:22" ht="15.75" customHeight="1">
      <c r="A21" s="56"/>
      <c r="B21" s="304" t="s">
        <v>236</v>
      </c>
      <c r="C21" s="153"/>
      <c r="D21" s="153"/>
      <c r="E21" s="153"/>
      <c r="F21" s="153"/>
      <c r="G21" s="153"/>
      <c r="H21" s="153"/>
      <c r="I21" s="153"/>
      <c r="J21" s="153"/>
      <c r="K21" s="153"/>
      <c r="L21" s="153"/>
      <c r="M21" s="153"/>
      <c r="N21" s="56"/>
    </row>
    <row r="22" spans="1:22" ht="15.75" customHeight="1">
      <c r="A22" s="145"/>
      <c r="B22" s="154" t="s">
        <v>91</v>
      </c>
      <c r="C22" s="155">
        <v>2005</v>
      </c>
      <c r="D22" s="155">
        <v>2006</v>
      </c>
      <c r="E22" s="155">
        <v>2007</v>
      </c>
      <c r="F22" s="155">
        <v>2008</v>
      </c>
      <c r="G22" s="155">
        <v>2009</v>
      </c>
      <c r="H22" s="155">
        <v>2010</v>
      </c>
      <c r="I22" s="155">
        <v>2011</v>
      </c>
      <c r="J22" s="155">
        <v>2012</v>
      </c>
      <c r="K22" s="155">
        <v>2013</v>
      </c>
      <c r="L22" s="155">
        <v>2014</v>
      </c>
      <c r="M22" s="155">
        <v>2015</v>
      </c>
      <c r="N22" s="156">
        <v>2016</v>
      </c>
      <c r="O22" s="156">
        <v>2017</v>
      </c>
      <c r="P22" s="156">
        <v>2018</v>
      </c>
      <c r="Q22" s="156">
        <v>2019</v>
      </c>
      <c r="R22" s="156">
        <v>2020</v>
      </c>
      <c r="S22" s="156">
        <v>2021</v>
      </c>
      <c r="T22" s="156">
        <v>2022</v>
      </c>
      <c r="U22" s="156">
        <v>2023</v>
      </c>
    </row>
    <row r="23" spans="1:22" ht="15.75" customHeight="1">
      <c r="A23" s="145"/>
      <c r="B23" s="27" t="s">
        <v>92</v>
      </c>
      <c r="C23" s="157">
        <f>C11</f>
        <v>0.29430799026039939</v>
      </c>
      <c r="D23" s="158">
        <f t="shared" ref="D23:L23" si="1">C23*(1+$E$11)</f>
        <v>0.28909541129789385</v>
      </c>
      <c r="E23" s="158">
        <f t="shared" si="1"/>
        <v>0.28397515391801442</v>
      </c>
      <c r="F23" s="158">
        <f t="shared" si="1"/>
        <v>0.27894558298493299</v>
      </c>
      <c r="G23" s="158">
        <f t="shared" si="1"/>
        <v>0.27400509232321291</v>
      </c>
      <c r="H23" s="158">
        <f t="shared" si="1"/>
        <v>0.26915210420488267</v>
      </c>
      <c r="I23" s="158">
        <f t="shared" si="1"/>
        <v>0.26438506884559415</v>
      </c>
      <c r="J23" s="158">
        <f t="shared" si="1"/>
        <v>0.25970246390970447</v>
      </c>
      <c r="K23" s="158">
        <f t="shared" si="1"/>
        <v>0.25510279402412361</v>
      </c>
      <c r="L23" s="158">
        <f t="shared" si="1"/>
        <v>0.25058459030077246</v>
      </c>
      <c r="M23" s="159">
        <f t="shared" ref="M23:U23" si="2">$D$11</f>
        <v>0.2461464098674985</v>
      </c>
      <c r="N23" s="159">
        <f t="shared" si="2"/>
        <v>0.2461464098674985</v>
      </c>
      <c r="O23" s="159">
        <f t="shared" si="2"/>
        <v>0.2461464098674985</v>
      </c>
      <c r="P23" s="159">
        <f t="shared" si="2"/>
        <v>0.2461464098674985</v>
      </c>
      <c r="Q23" s="159">
        <f t="shared" si="2"/>
        <v>0.2461464098674985</v>
      </c>
      <c r="R23" s="159">
        <f t="shared" si="2"/>
        <v>0.2461464098674985</v>
      </c>
      <c r="S23" s="159">
        <f t="shared" si="2"/>
        <v>0.2461464098674985</v>
      </c>
      <c r="T23" s="159">
        <f t="shared" si="2"/>
        <v>0.2461464098674985</v>
      </c>
      <c r="U23" s="159">
        <f t="shared" si="2"/>
        <v>0.2461464098674985</v>
      </c>
    </row>
    <row r="24" spans="1:22" ht="15.75" customHeight="1">
      <c r="A24" s="145"/>
      <c r="B24" s="27" t="s">
        <v>93</v>
      </c>
      <c r="C24" s="157">
        <f>C12</f>
        <v>0.68612847068277938</v>
      </c>
      <c r="D24" s="158">
        <f t="shared" ref="D24:L24" si="3">C24*(1+$E$12)</f>
        <v>0.69138736465348394</v>
      </c>
      <c r="E24" s="158">
        <f t="shared" si="3"/>
        <v>0.69668656589458577</v>
      </c>
      <c r="F24" s="158">
        <f t="shared" si="3"/>
        <v>0.70202638334481915</v>
      </c>
      <c r="G24" s="158">
        <f t="shared" si="3"/>
        <v>0.70740712831080732</v>
      </c>
      <c r="H24" s="158">
        <f t="shared" si="3"/>
        <v>0.71282911448521147</v>
      </c>
      <c r="I24" s="158">
        <f t="shared" si="3"/>
        <v>0.71829265796501851</v>
      </c>
      <c r="J24" s="158">
        <f t="shared" si="3"/>
        <v>0.72379807726996959</v>
      </c>
      <c r="K24" s="158">
        <f t="shared" si="3"/>
        <v>0.7293456933611292</v>
      </c>
      <c r="L24" s="158">
        <f t="shared" si="3"/>
        <v>0.73493582965959725</v>
      </c>
      <c r="M24" s="159">
        <f t="shared" ref="M24:U24" si="4">$D$12</f>
        <v>0.74056881206536362</v>
      </c>
      <c r="N24" s="159">
        <f t="shared" si="4"/>
        <v>0.74056881206536362</v>
      </c>
      <c r="O24" s="159">
        <f t="shared" si="4"/>
        <v>0.74056881206536362</v>
      </c>
      <c r="P24" s="159">
        <f t="shared" si="4"/>
        <v>0.74056881206536362</v>
      </c>
      <c r="Q24" s="159">
        <f t="shared" si="4"/>
        <v>0.74056881206536362</v>
      </c>
      <c r="R24" s="159">
        <f t="shared" si="4"/>
        <v>0.74056881206536362</v>
      </c>
      <c r="S24" s="159">
        <f t="shared" si="4"/>
        <v>0.74056881206536362</v>
      </c>
      <c r="T24" s="159">
        <f t="shared" si="4"/>
        <v>0.74056881206536362</v>
      </c>
      <c r="U24" s="159">
        <f t="shared" si="4"/>
        <v>0.74056881206536362</v>
      </c>
    </row>
    <row r="25" spans="1:22" ht="15.75" customHeight="1">
      <c r="A25" s="145"/>
      <c r="B25" s="27" t="s">
        <v>94</v>
      </c>
      <c r="C25" s="157">
        <f>C13</f>
        <v>1.7637853508587038E-3</v>
      </c>
      <c r="D25" s="157">
        <f t="shared" ref="D25:L25" si="5">C25*(1+$E$13)</f>
        <v>1.8314158525979342E-3</v>
      </c>
      <c r="E25" s="157">
        <f t="shared" si="5"/>
        <v>1.9016395750843906E-3</v>
      </c>
      <c r="F25" s="157">
        <f t="shared" si="5"/>
        <v>1.9745559526512645E-3</v>
      </c>
      <c r="G25" s="157">
        <f t="shared" si="5"/>
        <v>2.0502682323370975E-3</v>
      </c>
      <c r="H25" s="157">
        <f t="shared" si="5"/>
        <v>2.1288836200799742E-3</v>
      </c>
      <c r="I25" s="157">
        <f t="shared" si="5"/>
        <v>2.2105134325173786E-3</v>
      </c>
      <c r="J25" s="157">
        <f t="shared" si="5"/>
        <v>2.2952732546066565E-3</v>
      </c>
      <c r="K25" s="157">
        <f t="shared" si="5"/>
        <v>2.3832831032892699E-3</v>
      </c>
      <c r="L25" s="157">
        <f t="shared" si="5"/>
        <v>2.474667597430584E-3</v>
      </c>
      <c r="M25" s="160">
        <f t="shared" ref="M25:U25" si="6">$D$13</f>
        <v>2.5695561342758207E-3</v>
      </c>
      <c r="N25" s="160">
        <f t="shared" si="6"/>
        <v>2.5695561342758207E-3</v>
      </c>
      <c r="O25" s="160">
        <f t="shared" si="6"/>
        <v>2.5695561342758207E-3</v>
      </c>
      <c r="P25" s="160">
        <f t="shared" si="6"/>
        <v>2.5695561342758207E-3</v>
      </c>
      <c r="Q25" s="160">
        <f t="shared" si="6"/>
        <v>2.5695561342758207E-3</v>
      </c>
      <c r="R25" s="160">
        <f t="shared" si="6"/>
        <v>2.5695561342758207E-3</v>
      </c>
      <c r="S25" s="160">
        <f t="shared" si="6"/>
        <v>2.5695561342758207E-3</v>
      </c>
      <c r="T25" s="160">
        <f t="shared" si="6"/>
        <v>2.5695561342758207E-3</v>
      </c>
      <c r="U25" s="161">
        <f t="shared" si="6"/>
        <v>2.5695561342758207E-3</v>
      </c>
      <c r="V25" s="162"/>
    </row>
    <row r="26" spans="1:22" ht="15.75" customHeight="1">
      <c r="A26" s="145"/>
      <c r="B26" s="27" t="s">
        <v>95</v>
      </c>
      <c r="C26" s="157">
        <f>C14</f>
        <v>1.7799753705962422E-2</v>
      </c>
      <c r="D26" s="158">
        <f t="shared" ref="D26:L26" si="7">C26*(1+$E$14)</f>
        <v>1.691892287901723E-2</v>
      </c>
      <c r="E26" s="158">
        <f t="shared" si="7"/>
        <v>1.6081680461131714E-2</v>
      </c>
      <c r="F26" s="158">
        <f t="shared" si="7"/>
        <v>1.528586945535909E-2</v>
      </c>
      <c r="G26" s="158">
        <f t="shared" si="7"/>
        <v>1.4529439604960091E-2</v>
      </c>
      <c r="H26" s="158">
        <f t="shared" si="7"/>
        <v>1.3810442111303747E-2</v>
      </c>
      <c r="I26" s="158">
        <f t="shared" si="7"/>
        <v>1.3127024613155807E-2</v>
      </c>
      <c r="J26" s="158">
        <f t="shared" si="7"/>
        <v>1.2477426414419904E-2</v>
      </c>
      <c r="K26" s="158">
        <f t="shared" si="7"/>
        <v>1.1859973948036635E-2</v>
      </c>
      <c r="L26" s="158">
        <f t="shared" si="7"/>
        <v>1.1273076464354138E-2</v>
      </c>
      <c r="M26" s="159">
        <f t="shared" ref="M26:U26" si="8">$D$14</f>
        <v>1.071522193286209E-2</v>
      </c>
      <c r="N26" s="159">
        <f t="shared" si="8"/>
        <v>1.071522193286209E-2</v>
      </c>
      <c r="O26" s="159">
        <f t="shared" si="8"/>
        <v>1.071522193286209E-2</v>
      </c>
      <c r="P26" s="159">
        <f t="shared" si="8"/>
        <v>1.071522193286209E-2</v>
      </c>
      <c r="Q26" s="159">
        <f t="shared" si="8"/>
        <v>1.071522193286209E-2</v>
      </c>
      <c r="R26" s="159">
        <f t="shared" si="8"/>
        <v>1.071522193286209E-2</v>
      </c>
      <c r="S26" s="159">
        <f t="shared" si="8"/>
        <v>1.071522193286209E-2</v>
      </c>
      <c r="T26" s="159">
        <f t="shared" si="8"/>
        <v>1.071522193286209E-2</v>
      </c>
      <c r="U26" s="159">
        <f t="shared" si="8"/>
        <v>1.071522193286209E-2</v>
      </c>
    </row>
    <row r="27" spans="1:22" ht="15.75" customHeight="1"/>
    <row r="28" spans="1:22" ht="15.75" customHeight="1">
      <c r="B28" s="55"/>
      <c r="D28" s="76"/>
    </row>
    <row r="29" spans="1:22" ht="40.5" customHeight="1">
      <c r="B29" s="163"/>
      <c r="C29" s="163"/>
      <c r="G29" s="163"/>
      <c r="H29" s="164"/>
    </row>
    <row r="30" spans="1:22" ht="15.75" customHeight="1">
      <c r="B30" s="165"/>
      <c r="C30" s="166"/>
      <c r="G30" s="56"/>
      <c r="H30" s="166"/>
    </row>
    <row r="31" spans="1:22" ht="15.75" customHeight="1">
      <c r="B31" s="165"/>
      <c r="C31" s="166"/>
      <c r="D31" s="167"/>
      <c r="E31" s="167"/>
      <c r="F31" s="167"/>
      <c r="G31" s="56"/>
      <c r="H31" s="166"/>
    </row>
    <row r="32" spans="1:22" ht="15.75" customHeight="1">
      <c r="B32" s="165"/>
      <c r="C32" s="166"/>
      <c r="D32" s="167"/>
      <c r="E32" s="167"/>
      <c r="F32" s="167"/>
      <c r="G32" s="56"/>
      <c r="H32" s="166"/>
    </row>
    <row r="33" spans="2:10" ht="15.75" customHeight="1">
      <c r="B33" s="165"/>
      <c r="C33" s="166"/>
      <c r="D33" s="124"/>
      <c r="E33" s="124"/>
      <c r="F33" s="124"/>
      <c r="G33" s="56"/>
      <c r="H33" s="166"/>
    </row>
    <row r="34" spans="2:10" ht="15.75" customHeight="1">
      <c r="B34" s="165"/>
      <c r="C34" s="168"/>
      <c r="G34" s="56"/>
      <c r="H34" s="166"/>
    </row>
    <row r="35" spans="2:10" ht="15.75" customHeight="1">
      <c r="B35" s="165"/>
      <c r="C35" s="166"/>
    </row>
    <row r="36" spans="2:10" ht="15.75" customHeight="1">
      <c r="B36" s="165"/>
      <c r="C36" s="166"/>
      <c r="G36" s="55"/>
    </row>
    <row r="37" spans="2:10" ht="15.75" customHeight="1">
      <c r="B37" s="165"/>
      <c r="C37" s="168"/>
      <c r="D37" s="165"/>
      <c r="E37" s="169"/>
    </row>
    <row r="38" spans="2:10" ht="15.75" customHeight="1">
      <c r="B38" s="165"/>
      <c r="C38" s="166"/>
      <c r="D38" s="165"/>
      <c r="E38" s="165"/>
      <c r="G38" s="56"/>
      <c r="H38" s="56"/>
      <c r="I38" s="56"/>
      <c r="J38" s="55"/>
    </row>
    <row r="39" spans="2:10" ht="15.75" customHeight="1">
      <c r="B39" s="163"/>
      <c r="C39" s="169"/>
      <c r="D39" s="165"/>
      <c r="E39" s="169"/>
      <c r="G39" s="170"/>
      <c r="H39" s="170"/>
      <c r="I39" s="76"/>
      <c r="J39" s="76"/>
    </row>
    <row r="40" spans="2:10" ht="15.75" customHeight="1">
      <c r="B40" s="165"/>
      <c r="C40" s="169"/>
      <c r="D40" s="165"/>
      <c r="E40" s="169"/>
    </row>
    <row r="41" spans="2:10" ht="15.75" customHeight="1">
      <c r="B41" s="171"/>
      <c r="C41" s="171"/>
      <c r="D41" s="171"/>
      <c r="E41" s="171"/>
      <c r="F41" s="165"/>
    </row>
    <row r="42" spans="2:10" ht="15.75" customHeight="1">
      <c r="B42" s="165"/>
      <c r="C42" s="171"/>
      <c r="D42" s="165"/>
      <c r="E42" s="165"/>
      <c r="F42" s="165"/>
    </row>
    <row r="43" spans="2:10" ht="15.75" customHeight="1">
      <c r="B43" s="163"/>
      <c r="C43" s="172"/>
      <c r="D43" s="165"/>
      <c r="E43" s="165"/>
      <c r="F43" s="165"/>
    </row>
    <row r="44" spans="2:10" ht="41.25" customHeight="1">
      <c r="B44" s="709"/>
      <c r="C44" s="688"/>
      <c r="D44" s="688"/>
      <c r="E44" s="688"/>
      <c r="F44" s="165"/>
    </row>
    <row r="45" spans="2:10" ht="15.75" customHeight="1">
      <c r="B45" s="163"/>
      <c r="C45" s="165"/>
      <c r="D45" s="165"/>
      <c r="E45" s="165"/>
      <c r="F45" s="165"/>
    </row>
    <row r="46" spans="2:10" ht="84.75" customHeight="1">
      <c r="B46" s="710"/>
      <c r="C46" s="688"/>
      <c r="D46" s="688"/>
      <c r="E46" s="165"/>
      <c r="F46" s="165"/>
    </row>
    <row r="47" spans="2:10" ht="15.75" customHeight="1">
      <c r="B47" s="165"/>
      <c r="C47" s="169"/>
      <c r="D47" s="165"/>
      <c r="E47" s="165"/>
      <c r="F47" s="165"/>
    </row>
    <row r="48" spans="2:10" ht="54.75" customHeight="1">
      <c r="B48" s="706"/>
      <c r="C48" s="688"/>
      <c r="D48" s="688"/>
      <c r="E48" s="165"/>
      <c r="F48" s="165"/>
    </row>
    <row r="49" spans="2:2" ht="15.75" customHeight="1"/>
    <row r="50" spans="2:2" ht="15.75" customHeight="1">
      <c r="B50" s="55"/>
    </row>
    <row r="51" spans="2:2" ht="15.75" customHeight="1">
      <c r="B51" s="56"/>
    </row>
    <row r="52" spans="2:2" ht="15.75" customHeight="1">
      <c r="B52" s="56"/>
    </row>
    <row r="53" spans="2:2" ht="15.75" customHeight="1"/>
    <row r="54" spans="2:2" ht="15.75" customHeight="1">
      <c r="B54" s="56"/>
    </row>
    <row r="55" spans="2:2" ht="15.75" customHeight="1">
      <c r="B55" s="56"/>
    </row>
    <row r="56" spans="2:2" ht="15.75" customHeight="1"/>
    <row r="57" spans="2:2" ht="15.75" customHeight="1"/>
    <row r="58" spans="2:2" ht="15.75" customHeight="1"/>
    <row r="59" spans="2:2" ht="15.75" customHeight="1"/>
    <row r="60" spans="2:2" ht="15.75" customHeight="1"/>
    <row r="61" spans="2:2" ht="15.75" customHeight="1"/>
    <row r="62" spans="2:2" ht="15.75" customHeight="1"/>
    <row r="63" spans="2:2" ht="15.75" customHeight="1"/>
    <row r="64" spans="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22">
    <mergeCell ref="AD6:AD7"/>
    <mergeCell ref="AE6:AF6"/>
    <mergeCell ref="AG6:AG7"/>
    <mergeCell ref="B44:E44"/>
    <mergeCell ref="B46:D46"/>
    <mergeCell ref="Z6:AB6"/>
    <mergeCell ref="AC6:AC7"/>
    <mergeCell ref="B48:D48"/>
    <mergeCell ref="V6:V7"/>
    <mergeCell ref="W6:W7"/>
    <mergeCell ref="X6:X7"/>
    <mergeCell ref="Y6:Y7"/>
    <mergeCell ref="Q6:Q7"/>
    <mergeCell ref="R6:R7"/>
    <mergeCell ref="S6:S7"/>
    <mergeCell ref="T6:T7"/>
    <mergeCell ref="U6:U7"/>
    <mergeCell ref="B2:E2"/>
    <mergeCell ref="C5:F5"/>
    <mergeCell ref="G5:J5"/>
    <mergeCell ref="V5:Y5"/>
    <mergeCell ref="Z5:A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Sheet1</vt:lpstr>
      <vt:lpstr>Pivot table waste sector</vt:lpstr>
      <vt:lpstr>GHG Emissions</vt:lpstr>
      <vt:lpstr>Domestic wastewater-CH4 </vt:lpstr>
      <vt:lpstr>Domestic wastewater- N2O </vt:lpstr>
      <vt:lpstr>State total population</vt:lpstr>
      <vt:lpstr>Protein intake</vt:lpstr>
      <vt:lpstr>BOD</vt:lpstr>
      <vt:lpstr> degree of utilization</vt:lpstr>
      <vt:lpstr> Urban degree of utilization</vt:lpstr>
      <vt:lpstr>Rural degree of utilization</vt:lpstr>
      <vt:lpstr>STP status</vt:lpstr>
      <vt:lpstr>Petroleum</vt:lpstr>
      <vt:lpstr>Statewise_ production_ petroleu</vt:lpstr>
      <vt:lpstr>Dairy</vt:lpstr>
      <vt:lpstr>State production dairy</vt:lpstr>
      <vt:lpstr>Meat</vt:lpstr>
      <vt:lpstr>State _production_meat</vt:lpstr>
      <vt:lpstr>state_production_pulp and paper</vt:lpstr>
      <vt:lpstr>pulp and paper </vt:lpstr>
      <vt:lpstr>Rubber</vt:lpstr>
      <vt:lpstr>State_production_rubber</vt:lpstr>
      <vt:lpstr>Tannery</vt:lpstr>
      <vt:lpstr>State_production_tannery</vt:lpstr>
      <vt:lpstr>Fish processing</vt:lpstr>
      <vt:lpstr>state_production_fish processin</vt:lpstr>
      <vt:lpstr>Solid waste emissions</vt:lpstr>
      <vt:lpstr>Per capita waste generation</vt:lpstr>
      <vt:lpstr>DOC</vt:lpstr>
      <vt:lpstr>Urban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Vasudha</dc:creator>
  <cp:lastModifiedBy>Vrinda Vijayan</cp:lastModifiedBy>
  <dcterms:created xsi:type="dcterms:W3CDTF">2015-06-05T18:17:20Z</dcterms:created>
  <dcterms:modified xsi:type="dcterms:W3CDTF">2026-04-22T06:12:00Z</dcterms:modified>
</cp:coreProperties>
</file>